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31" activeTab="4"/>
  </bookViews>
  <sheets>
    <sheet name="спецстали" sheetId="1" r:id="rId1"/>
    <sheet name="листовой металлопрокат" sheetId="2" r:id="rId2"/>
    <sheet name="Востановленная" sheetId="3" r:id="rId3"/>
    <sheet name="Труба Новая" sheetId="4" r:id="rId4"/>
    <sheet name="Прочий прокат" sheetId="5" r:id="rId5"/>
  </sheets>
  <definedNames/>
  <calcPr fullCalcOnLoad="1" refMode="R1C1"/>
</workbook>
</file>

<file path=xl/sharedStrings.xml><?xml version="1.0" encoding="utf-8"?>
<sst xmlns="http://schemas.openxmlformats.org/spreadsheetml/2006/main" count="4635" uniqueCount="1646">
  <si>
    <t>примечание</t>
  </si>
  <si>
    <t>цена за тн.</t>
  </si>
  <si>
    <t>новый</t>
  </si>
  <si>
    <t>наименование</t>
  </si>
  <si>
    <t>конструкции</t>
  </si>
  <si>
    <t>не работала</t>
  </si>
  <si>
    <t>обработка</t>
  </si>
  <si>
    <t>новая</t>
  </si>
  <si>
    <t>мех. Фаска, песок.</t>
  </si>
  <si>
    <t>б/у, чистая</t>
  </si>
  <si>
    <t>очищенная, орбита</t>
  </si>
  <si>
    <t>цена за тн./м.п</t>
  </si>
  <si>
    <t xml:space="preserve"> </t>
  </si>
  <si>
    <t>цена за тн./м.п.</t>
  </si>
  <si>
    <t>Прочий прокат</t>
  </si>
  <si>
    <t>орбита, песок</t>
  </si>
  <si>
    <t>Кессон</t>
  </si>
  <si>
    <t>сост. Хор.  На столбы</t>
  </si>
  <si>
    <t>300 х 1000</t>
  </si>
  <si>
    <t>Ст. труба ø73х5,5</t>
  </si>
  <si>
    <t>Лист 0,5мм</t>
  </si>
  <si>
    <t xml:space="preserve">Ст. труба ø1220х14  </t>
  </si>
  <si>
    <t>мех. Фаска, песок.    L=11,26м</t>
  </si>
  <si>
    <t>орбита,песок</t>
  </si>
  <si>
    <t>орбита, песок.</t>
  </si>
  <si>
    <t>2000 х 1000</t>
  </si>
  <si>
    <t>400р/шт</t>
  </si>
  <si>
    <t>длины</t>
  </si>
  <si>
    <t>стенка</t>
  </si>
  <si>
    <t>марка стали</t>
  </si>
  <si>
    <t>цена тн./м.п.</t>
  </si>
  <si>
    <t>20р/шт</t>
  </si>
  <si>
    <t>2380 х 600 х 580</t>
  </si>
  <si>
    <t>Фундаментный блок ЖБ</t>
  </si>
  <si>
    <t>2500р/шт</t>
  </si>
  <si>
    <t>Труба на столбы</t>
  </si>
  <si>
    <t>сорт</t>
  </si>
  <si>
    <t>I</t>
  </si>
  <si>
    <t>II</t>
  </si>
  <si>
    <t>хар-ка</t>
  </si>
  <si>
    <t>Итого:</t>
  </si>
  <si>
    <t>№П/п</t>
  </si>
  <si>
    <t>состояние</t>
  </si>
  <si>
    <t>г/к</t>
  </si>
  <si>
    <t>эл/св</t>
  </si>
  <si>
    <t>поп/шов</t>
  </si>
  <si>
    <t>Ст. труба ø168х13</t>
  </si>
  <si>
    <t>Ст. труба ø630х10</t>
  </si>
  <si>
    <t>Ст. труба ø273х12</t>
  </si>
  <si>
    <t>1250 х 2500</t>
  </si>
  <si>
    <t>Ст. труба ø133</t>
  </si>
  <si>
    <t>17000/шт</t>
  </si>
  <si>
    <t>Ст. труба ø630х8</t>
  </si>
  <si>
    <t>ГОСТ 8732-78</t>
  </si>
  <si>
    <t>Ст. труба ø720х10</t>
  </si>
  <si>
    <t>Ст. труба ø820х10</t>
  </si>
  <si>
    <t>шифер.</t>
  </si>
  <si>
    <t>Лист 1мм (алюмин.)</t>
  </si>
  <si>
    <t>пропаренная</t>
  </si>
  <si>
    <t>сп/ш</t>
  </si>
  <si>
    <t>Ст. труба ø168</t>
  </si>
  <si>
    <t>Ст. труба ø159</t>
  </si>
  <si>
    <t>Ст. труба ø114</t>
  </si>
  <si>
    <t>Ст. труба ø720х9</t>
  </si>
  <si>
    <t>сост. Хор.  На столбы.</t>
  </si>
  <si>
    <t>Кольца смотровых колодцев</t>
  </si>
  <si>
    <t>новые</t>
  </si>
  <si>
    <t>КЦ15-9ск (КС)</t>
  </si>
  <si>
    <t>КЦ10-9ск (КС)</t>
  </si>
  <si>
    <t>1680 х 890 х 90</t>
  </si>
  <si>
    <t>1160 х 890 х 80</t>
  </si>
  <si>
    <t>10</t>
  </si>
  <si>
    <t>Балка 30М</t>
  </si>
  <si>
    <t>нержавейка</t>
  </si>
  <si>
    <t>2000 х 1500 х 4000</t>
  </si>
  <si>
    <t>1500 х 10000</t>
  </si>
  <si>
    <t>ячейка 30 х 30,</t>
  </si>
  <si>
    <t>650/шт</t>
  </si>
  <si>
    <t>3500р/шт</t>
  </si>
  <si>
    <t>2000р/шт</t>
  </si>
  <si>
    <t>L= 9,7м - 10.1м</t>
  </si>
  <si>
    <t>Ст. труба ø720х8</t>
  </si>
  <si>
    <t>Ст. труба ø194х12</t>
  </si>
  <si>
    <t>очищенная, орбита   L=5 - 6м</t>
  </si>
  <si>
    <t>Ст. труба ø48-159</t>
  </si>
  <si>
    <t>Швеллер 270х90х72х8 гнутый</t>
  </si>
  <si>
    <t>8</t>
  </si>
  <si>
    <t>Лист 4мм</t>
  </si>
  <si>
    <t>1700 х 1200 х 2000</t>
  </si>
  <si>
    <t>Ст. труба ø1020х11</t>
  </si>
  <si>
    <t>пр/ш</t>
  </si>
  <si>
    <t>ГОСТ 10704-91</t>
  </si>
  <si>
    <t>Ст. труба ø325</t>
  </si>
  <si>
    <t xml:space="preserve">Ст. труба ø426х10         </t>
  </si>
  <si>
    <t>Ст. труба ø457</t>
  </si>
  <si>
    <t>Трубы новые - лежалые</t>
  </si>
  <si>
    <t>25000 / 758</t>
  </si>
  <si>
    <t>Ст. труба ø195</t>
  </si>
  <si>
    <t>Лист 1мм</t>
  </si>
  <si>
    <t>20000 / 157</t>
  </si>
  <si>
    <t>Лист 0,7мм</t>
  </si>
  <si>
    <t>20000 / 110</t>
  </si>
  <si>
    <t>3</t>
  </si>
  <si>
    <t>Ст. труба ф146х8</t>
  </si>
  <si>
    <t>5,00 - 8,00</t>
  </si>
  <si>
    <t>Ст. труба ø426х7</t>
  </si>
  <si>
    <t>Ст. труба ø325х6,5</t>
  </si>
  <si>
    <t>Сетка рабица ø1,6</t>
  </si>
  <si>
    <t xml:space="preserve">Ст. труба ø530х8       </t>
  </si>
  <si>
    <t>Ст. труба ø1420х16,2</t>
  </si>
  <si>
    <t>Ст. труба ø25</t>
  </si>
  <si>
    <t>2</t>
  </si>
  <si>
    <t>3,00 - 4,00</t>
  </si>
  <si>
    <t>45000 / 50</t>
  </si>
  <si>
    <t>Ст. труба ø720х8   17Г1С</t>
  </si>
  <si>
    <t>очищенная</t>
  </si>
  <si>
    <t>Балка 18</t>
  </si>
  <si>
    <t>труба на сваи, под дорогу</t>
  </si>
  <si>
    <t>труба восстановленная II сорт</t>
  </si>
  <si>
    <t>труба восстановленная I сорт</t>
  </si>
  <si>
    <t>Ст. труба ø73</t>
  </si>
  <si>
    <t>5,5</t>
  </si>
  <si>
    <t>25000 / 230</t>
  </si>
  <si>
    <t>Ст. труба ø530</t>
  </si>
  <si>
    <t>Ст. труба ø720</t>
  </si>
  <si>
    <t>Ст. труба ø89</t>
  </si>
  <si>
    <t>10,00 - 11,00</t>
  </si>
  <si>
    <t>Ст. труба ø426</t>
  </si>
  <si>
    <t>9,00 - 11,00</t>
  </si>
  <si>
    <t>Балка 27</t>
  </si>
  <si>
    <t>Угол 160х10</t>
  </si>
  <si>
    <t>20000 / 495</t>
  </si>
  <si>
    <t>Ст. труба ø76</t>
  </si>
  <si>
    <t>4</t>
  </si>
  <si>
    <t>5</t>
  </si>
  <si>
    <t>Балка 22</t>
  </si>
  <si>
    <t>L=3,4м</t>
  </si>
  <si>
    <t>Ст. труба ø426х7-9</t>
  </si>
  <si>
    <t>20000 / 480</t>
  </si>
  <si>
    <t>20000 / 630</t>
  </si>
  <si>
    <t>20000 / 308</t>
  </si>
  <si>
    <t>8,48 - 8,93</t>
  </si>
  <si>
    <t>Ст. труба ø42</t>
  </si>
  <si>
    <t>5,70 - 6,00</t>
  </si>
  <si>
    <t>3,00 - 6,00</t>
  </si>
  <si>
    <t>Ст. труба ø219х11</t>
  </si>
  <si>
    <t>Ст. труба ø245</t>
  </si>
  <si>
    <t>9</t>
  </si>
  <si>
    <t>10,9-11,06</t>
  </si>
  <si>
    <t>III</t>
  </si>
  <si>
    <t>IV</t>
  </si>
  <si>
    <t>7</t>
  </si>
  <si>
    <t>ТУ 14-3-1270-01 К52 7Г изоляция ПВХ</t>
  </si>
  <si>
    <t>31000 / 168</t>
  </si>
  <si>
    <t>31000 / 416</t>
  </si>
  <si>
    <t xml:space="preserve">Ст. труба ø325х7 </t>
  </si>
  <si>
    <t>Арматура ø16</t>
  </si>
  <si>
    <t>L=3,5м</t>
  </si>
  <si>
    <t>Лист 14мм</t>
  </si>
  <si>
    <t>1700 х 2000</t>
  </si>
  <si>
    <t>Ст. труба ø377х11</t>
  </si>
  <si>
    <t xml:space="preserve">Ст. труба ø426х12-14        </t>
  </si>
  <si>
    <t>Ст. труба ø273х7</t>
  </si>
  <si>
    <t>Ст. труба ø377</t>
  </si>
  <si>
    <t>оцинковка</t>
  </si>
  <si>
    <t>Ст. труба ø57</t>
  </si>
  <si>
    <t>3,5</t>
  </si>
  <si>
    <t>31000 / 143</t>
  </si>
  <si>
    <t>31000 / 260</t>
  </si>
  <si>
    <t>Ст. труба ø48</t>
  </si>
  <si>
    <t>31000 / 120</t>
  </si>
  <si>
    <t>ГОСТ 8732-78 ст20 2НП ВФОМ  ПВХ</t>
  </si>
  <si>
    <t>Ст. труба ø820х8,5-9</t>
  </si>
  <si>
    <t>Ст. труба ø219х12</t>
  </si>
  <si>
    <t>Ст. труба ø273х13</t>
  </si>
  <si>
    <t>Швеллер 12</t>
  </si>
  <si>
    <t>9м</t>
  </si>
  <si>
    <t>31000 / 325</t>
  </si>
  <si>
    <t>31000 / 336</t>
  </si>
  <si>
    <t>Профиль 180х180х8</t>
  </si>
  <si>
    <t>L=12,04м</t>
  </si>
  <si>
    <t>25000 / 1060</t>
  </si>
  <si>
    <t>8,20 - 11,67</t>
  </si>
  <si>
    <t>25000 / 632</t>
  </si>
  <si>
    <t>Швеллер 18</t>
  </si>
  <si>
    <t>31000 / 521</t>
  </si>
  <si>
    <t>Ст. труба ø60</t>
  </si>
  <si>
    <t>31000 / 151</t>
  </si>
  <si>
    <t>3,00 - 4,20</t>
  </si>
  <si>
    <t>Ст. труба ø108</t>
  </si>
  <si>
    <t>31000 / 318</t>
  </si>
  <si>
    <t>Угол 70х6</t>
  </si>
  <si>
    <t>L=5,85м</t>
  </si>
  <si>
    <t>31000 / 198</t>
  </si>
  <si>
    <t>Ст. труба ø530х9</t>
  </si>
  <si>
    <t>Профиль 20х20х2,5</t>
  </si>
  <si>
    <t>31000 / 40</t>
  </si>
  <si>
    <t>L=3,2м - 4,5м</t>
  </si>
  <si>
    <t>L=7м - 8м</t>
  </si>
  <si>
    <t>Профиль 40х20х2,5</t>
  </si>
  <si>
    <t>31000 / 65</t>
  </si>
  <si>
    <t>25000 / 96</t>
  </si>
  <si>
    <t>Ст. труба ø219</t>
  </si>
  <si>
    <t>Балка 20</t>
  </si>
  <si>
    <t>20000 / 448</t>
  </si>
  <si>
    <t>Балка 20Ш</t>
  </si>
  <si>
    <t>L=2,7м, 5,5м</t>
  </si>
  <si>
    <t>20000 / 612</t>
  </si>
  <si>
    <t>Балка 20К</t>
  </si>
  <si>
    <t>L=2,45м</t>
  </si>
  <si>
    <t>20000 / 828</t>
  </si>
  <si>
    <t>Балка 15К</t>
  </si>
  <si>
    <t>L=3.0м, 3.5м, 3.7м</t>
  </si>
  <si>
    <t>20000 / 602</t>
  </si>
  <si>
    <t>Балка 24М</t>
  </si>
  <si>
    <t>L=3,8м, 1,4м</t>
  </si>
  <si>
    <t>20000 / 786</t>
  </si>
  <si>
    <t>Балка 25К</t>
  </si>
  <si>
    <t>20000 / 1252</t>
  </si>
  <si>
    <t>L=2,6м</t>
  </si>
  <si>
    <t>L=2.8м, 3.8м, 3.8м</t>
  </si>
  <si>
    <t>20000 / 1004</t>
  </si>
  <si>
    <t>2шт х 4,8м</t>
  </si>
  <si>
    <t>Балка 35</t>
  </si>
  <si>
    <t>Балка 40</t>
  </si>
  <si>
    <t>Балка 50Ш1</t>
  </si>
  <si>
    <t>L=3.2м, 5.2м, 4м</t>
  </si>
  <si>
    <t>20000 / 962</t>
  </si>
  <si>
    <t>L=5,75м</t>
  </si>
  <si>
    <t>20000 / 2288</t>
  </si>
  <si>
    <t>Швеллер 300х100х8 гнутый</t>
  </si>
  <si>
    <t>L= 6.0м, 5,7м</t>
  </si>
  <si>
    <t>20000 / 590</t>
  </si>
  <si>
    <t>Швеллер 180х70х6 гнутый</t>
  </si>
  <si>
    <t>L= 5,8м</t>
  </si>
  <si>
    <t>20000 / 280</t>
  </si>
  <si>
    <t>Ст. труба ø426х6-7</t>
  </si>
  <si>
    <t xml:space="preserve">Ст. труба ø530х7,5      </t>
  </si>
  <si>
    <t>Балка 45Б2</t>
  </si>
  <si>
    <t>14</t>
  </si>
  <si>
    <t>10,00-11,00</t>
  </si>
  <si>
    <t>Швеллер 24</t>
  </si>
  <si>
    <t>Профиль 80х80х4</t>
  </si>
  <si>
    <t>L=5,10м</t>
  </si>
  <si>
    <t>25000 / 233</t>
  </si>
  <si>
    <t>Угол 125х10</t>
  </si>
  <si>
    <t>L=11.62м,   6.30м</t>
  </si>
  <si>
    <t>Угол 110х8</t>
  </si>
  <si>
    <t>L=4.00м - 9.00м</t>
  </si>
  <si>
    <t>20000 / 306</t>
  </si>
  <si>
    <t>10,85 - 11,50</t>
  </si>
  <si>
    <t>Ст. труба ø1020</t>
  </si>
  <si>
    <t>16</t>
  </si>
  <si>
    <t>10,60 - 11,70</t>
  </si>
  <si>
    <t>Ст. труба ø273х6</t>
  </si>
  <si>
    <t>Ст. труба ø300х12</t>
  </si>
  <si>
    <t>Ст. труба ø325х8</t>
  </si>
  <si>
    <t>L=2,5 - 4,6м</t>
  </si>
  <si>
    <t>17Г1С</t>
  </si>
  <si>
    <t>ГОСТ 20295-85   17Г1С</t>
  </si>
  <si>
    <t>L= 6,0м - 6,8м</t>
  </si>
  <si>
    <t>25000 / 600</t>
  </si>
  <si>
    <t>L=3,8м - 9,15м</t>
  </si>
  <si>
    <t>L= 5,м - 9м</t>
  </si>
  <si>
    <t>Угол 100х7</t>
  </si>
  <si>
    <t>25000 / 270</t>
  </si>
  <si>
    <t>Угол 160х100х10</t>
  </si>
  <si>
    <t>L=6м - 7м</t>
  </si>
  <si>
    <t>25000 / 495</t>
  </si>
  <si>
    <t>L=5,40м</t>
  </si>
  <si>
    <t>Профиль 140х140</t>
  </si>
  <si>
    <t>Бытовка строительная</t>
  </si>
  <si>
    <t>б/у</t>
  </si>
  <si>
    <t>на шасси  2500 х 8000</t>
  </si>
  <si>
    <t>L=5,90</t>
  </si>
  <si>
    <t>Ст. труба ø273х9</t>
  </si>
  <si>
    <t>Ст. труба ø426х7-8</t>
  </si>
  <si>
    <t>1шт х 6,25м</t>
  </si>
  <si>
    <t>Ст. труба ø219х6</t>
  </si>
  <si>
    <t>Швеллер 120х50х6 гнутый</t>
  </si>
  <si>
    <t>L= 4,90м</t>
  </si>
  <si>
    <t>20000 / 190</t>
  </si>
  <si>
    <t>4,35 - 5,87</t>
  </si>
  <si>
    <t>4,5</t>
  </si>
  <si>
    <t>31000 / 246</t>
  </si>
  <si>
    <t>6,65 - 7,80</t>
  </si>
  <si>
    <t>31000 / 171</t>
  </si>
  <si>
    <t>3,00 - 7,80</t>
  </si>
  <si>
    <t>31000 / 103</t>
  </si>
  <si>
    <t>Ст. труба ø27</t>
  </si>
  <si>
    <t>31000 / 63</t>
  </si>
  <si>
    <t>Ст. труба ø245х9(11-14)</t>
  </si>
  <si>
    <t>25000 / 477</t>
  </si>
  <si>
    <t>25000 / 240</t>
  </si>
  <si>
    <t>Швеллер 160х80х4 гнутый</t>
  </si>
  <si>
    <t>Ст. труба ø273</t>
  </si>
  <si>
    <t>10,50-11,30</t>
  </si>
  <si>
    <t>1шт х 3,5   1шт х 4,8</t>
  </si>
  <si>
    <t>6</t>
  </si>
  <si>
    <t>6,71 - 11,47</t>
  </si>
  <si>
    <t>3 - 6м</t>
  </si>
  <si>
    <t>20000 / 208</t>
  </si>
  <si>
    <t>Ст. труба ø377х10-11</t>
  </si>
  <si>
    <t>Ст. труба ø219х10</t>
  </si>
  <si>
    <t>Ст. труба ø273х10</t>
  </si>
  <si>
    <t>Ст. труба ø57х3,5</t>
  </si>
  <si>
    <t>20000 / 95</t>
  </si>
  <si>
    <t>Угол 140х9</t>
  </si>
  <si>
    <t>L=1,9 - 2м</t>
  </si>
  <si>
    <t>L=2,8 - 2,9м</t>
  </si>
  <si>
    <t>Угол 180х11</t>
  </si>
  <si>
    <t>1,8м</t>
  </si>
  <si>
    <t>Угол 200х16</t>
  </si>
  <si>
    <t>2,15м   1,67м</t>
  </si>
  <si>
    <t>20000 / 388</t>
  </si>
  <si>
    <t>20000 / 610</t>
  </si>
  <si>
    <t>20000 / 974</t>
  </si>
  <si>
    <t>12</t>
  </si>
  <si>
    <t>7,82 - 8,41</t>
  </si>
  <si>
    <t>Ст. труба ø426х9</t>
  </si>
  <si>
    <t>Ст. труба ø1220х13</t>
  </si>
  <si>
    <t xml:space="preserve">Ст. труба ø1420х16,5  </t>
  </si>
  <si>
    <t>Ст. труба ф140х7-8  поп/шов</t>
  </si>
  <si>
    <t>Ст. труба ø820х11</t>
  </si>
  <si>
    <t>Ст. труба ø60х5</t>
  </si>
  <si>
    <t>17500 / 160</t>
  </si>
  <si>
    <t>18500 / 125</t>
  </si>
  <si>
    <t>25000 / 40</t>
  </si>
  <si>
    <t>29000 / 370</t>
  </si>
  <si>
    <t>Лист 4мм рифленый</t>
  </si>
  <si>
    <t>1500 х 6000</t>
  </si>
  <si>
    <t>1100 х 4000</t>
  </si>
  <si>
    <t>29000 / 972</t>
  </si>
  <si>
    <t>29000 / 911</t>
  </si>
  <si>
    <t>тел.: (343) 384-78-08 (много кональный), 328-07-34, 201-04-76. факс: 384-78-08 (доб 0).</t>
  </si>
  <si>
    <t xml:space="preserve"> г. Екатеринбург, Космонавтов 18, кор 42, оф 3, e-mail: ural.stall@yandex.ru  URL: www.tk-uralstal.ru</t>
  </si>
  <si>
    <t>База: Космонавтов 18</t>
  </si>
  <si>
    <t xml:space="preserve">База: Космонавтов 18. </t>
  </si>
  <si>
    <t>База: Комонавтов 18</t>
  </si>
  <si>
    <t>сталь</t>
  </si>
  <si>
    <t>профиль</t>
  </si>
  <si>
    <t>размер, мм</t>
  </si>
  <si>
    <t>пр-во</t>
  </si>
  <si>
    <t>бронь</t>
  </si>
  <si>
    <t>длина</t>
  </si>
  <si>
    <t>кол-во</t>
  </si>
  <si>
    <t>ИНСТРУМЕНТАЛЬНЫЕ СТАЛИ</t>
  </si>
  <si>
    <t xml:space="preserve">3Х2В8Ф </t>
  </si>
  <si>
    <t>Круг</t>
  </si>
  <si>
    <t>50***</t>
  </si>
  <si>
    <t>1,20-3,00 м</t>
  </si>
  <si>
    <t>2,70; 3,80 м</t>
  </si>
  <si>
    <t>70***</t>
  </si>
  <si>
    <t>80***</t>
  </si>
  <si>
    <t>100 ков.*</t>
  </si>
  <si>
    <t>110***</t>
  </si>
  <si>
    <t>120***</t>
  </si>
  <si>
    <t>120 ков.*</t>
  </si>
  <si>
    <t>1,00-1,50 м (8)</t>
  </si>
  <si>
    <t>130 ков.*</t>
  </si>
  <si>
    <t>140 ков.*</t>
  </si>
  <si>
    <t>1,80 м (6)</t>
  </si>
  <si>
    <t>190 ков.*</t>
  </si>
  <si>
    <t>200 ков.*</t>
  </si>
  <si>
    <t>Полоса</t>
  </si>
  <si>
    <t>50х250 ков.*</t>
  </si>
  <si>
    <t>1,43;1,48;1,51</t>
  </si>
  <si>
    <t>60х250 ков.*</t>
  </si>
  <si>
    <t xml:space="preserve">   3Х3М3Ф </t>
  </si>
  <si>
    <t>100***</t>
  </si>
  <si>
    <t>Квадрат</t>
  </si>
  <si>
    <t>250х250</t>
  </si>
  <si>
    <t>1,60 м (1)</t>
  </si>
  <si>
    <t xml:space="preserve">4Х5В2ФС </t>
  </si>
  <si>
    <t>1,30-4,20 м</t>
  </si>
  <si>
    <t>2,50-3,40 м</t>
  </si>
  <si>
    <t>4Х5В2ФС</t>
  </si>
  <si>
    <t>2,90-4,50 м</t>
  </si>
  <si>
    <t>2,70-3,00 м</t>
  </si>
  <si>
    <t>2,10; 2,80 м</t>
  </si>
  <si>
    <t>1,30-2,90 м</t>
  </si>
  <si>
    <t>120 ков.</t>
  </si>
  <si>
    <t>125 ков.</t>
  </si>
  <si>
    <t>1,60 м</t>
  </si>
  <si>
    <t>0,78; 1,08 м</t>
  </si>
  <si>
    <t>1,30-3,80 м</t>
  </si>
  <si>
    <t>150 ков.</t>
  </si>
  <si>
    <t>1,20-2,20 м</t>
  </si>
  <si>
    <t>200 ков.</t>
  </si>
  <si>
    <t>2,01 м (1)</t>
  </si>
  <si>
    <t>К</t>
  </si>
  <si>
    <t>400 ков.</t>
  </si>
  <si>
    <t>1,40 м (1)</t>
  </si>
  <si>
    <t>180х180</t>
  </si>
  <si>
    <t>2,20-2,70 м</t>
  </si>
  <si>
    <t>А</t>
  </si>
  <si>
    <t>240х240</t>
  </si>
  <si>
    <t>0,70 м (1)</t>
  </si>
  <si>
    <t>весь</t>
  </si>
  <si>
    <t>Поковка</t>
  </si>
  <si>
    <t>140х630</t>
  </si>
  <si>
    <t xml:space="preserve">   4Х5МФС</t>
  </si>
  <si>
    <t>40*</t>
  </si>
  <si>
    <t>3,70 м</t>
  </si>
  <si>
    <t>50*</t>
  </si>
  <si>
    <t>4,50 м</t>
  </si>
  <si>
    <t>2,50; 4,10 м</t>
  </si>
  <si>
    <t>3,00-3,80 м</t>
  </si>
  <si>
    <t>80*</t>
  </si>
  <si>
    <t>90*</t>
  </si>
  <si>
    <t>5,60 м (1)</t>
  </si>
  <si>
    <t>100*</t>
  </si>
  <si>
    <t>2,90-3,35 м</t>
  </si>
  <si>
    <t>120*</t>
  </si>
  <si>
    <t>4,70 м</t>
  </si>
  <si>
    <t>130*</t>
  </si>
  <si>
    <t>3,90 м (8)</t>
  </si>
  <si>
    <t>160 обт.*</t>
  </si>
  <si>
    <t>170 обт.*</t>
  </si>
  <si>
    <t>220*</t>
  </si>
  <si>
    <t>2,50 м (3)</t>
  </si>
  <si>
    <t>0,64 м (1)</t>
  </si>
  <si>
    <t>250 ков*</t>
  </si>
  <si>
    <t>480 ков"</t>
  </si>
  <si>
    <t>0,39 м</t>
  </si>
  <si>
    <t>30х150</t>
  </si>
  <si>
    <t>1,30-1,40 м</t>
  </si>
  <si>
    <t>40х200 ков.*</t>
  </si>
  <si>
    <t>60х300 ков.*</t>
  </si>
  <si>
    <t>1,37;1,57;1,69</t>
  </si>
  <si>
    <t>70х380 ков.*</t>
  </si>
  <si>
    <t>80х380 ков.*</t>
  </si>
  <si>
    <t>90х380 ков.*</t>
  </si>
  <si>
    <t>100х380 ков.*</t>
  </si>
  <si>
    <t>120х380 ков.*</t>
  </si>
  <si>
    <t>220х360</t>
  </si>
  <si>
    <t>2,20 м (1)</t>
  </si>
  <si>
    <t>5Х3В3МФС(ДИ23)</t>
  </si>
  <si>
    <t>1,80-3,00 м</t>
  </si>
  <si>
    <t>200х200</t>
  </si>
  <si>
    <t>0,64; 1,68 м</t>
  </si>
  <si>
    <t xml:space="preserve">   4ХВ2С</t>
  </si>
  <si>
    <t>4,00 м</t>
  </si>
  <si>
    <t>5ХВ2СФ</t>
  </si>
  <si>
    <t>20***</t>
  </si>
  <si>
    <t>1,30 м</t>
  </si>
  <si>
    <t>5ХВ2С</t>
  </si>
  <si>
    <t>3,00 м</t>
  </si>
  <si>
    <t>50 рж</t>
  </si>
  <si>
    <t>2,60-4,00 м</t>
  </si>
  <si>
    <t xml:space="preserve">   6ХВ2С</t>
  </si>
  <si>
    <t>2,90-3,20 м</t>
  </si>
  <si>
    <t>2,95 м</t>
  </si>
  <si>
    <t>2,30 м</t>
  </si>
  <si>
    <t>3,80-4,60 м</t>
  </si>
  <si>
    <t>2,40-3,30 м</t>
  </si>
  <si>
    <t>2,20 м</t>
  </si>
  <si>
    <t>90 ков.</t>
  </si>
  <si>
    <t>1,50-2,00 м</t>
  </si>
  <si>
    <t>5,00 м</t>
  </si>
  <si>
    <t>140*</t>
  </si>
  <si>
    <t>150 обт.</t>
  </si>
  <si>
    <t>2,0(1); 3,35(3)</t>
  </si>
  <si>
    <t>170 обт."</t>
  </si>
  <si>
    <t>5,25 м</t>
  </si>
  <si>
    <t>180 обт.*</t>
  </si>
  <si>
    <t>200 обт.*</t>
  </si>
  <si>
    <t>3,80 м</t>
  </si>
  <si>
    <t>3,00-3,30 м (4)</t>
  </si>
  <si>
    <t>2,80-3,00 м (3)</t>
  </si>
  <si>
    <t>20х100 г/к*</t>
  </si>
  <si>
    <t>30х200 ков.*</t>
  </si>
  <si>
    <t>35х200 ков.*</t>
  </si>
  <si>
    <t>45х200 ков.*</t>
  </si>
  <si>
    <t xml:space="preserve">   5ХНМ</t>
  </si>
  <si>
    <t>2,20-4,80 м</t>
  </si>
  <si>
    <t>2,90 м</t>
  </si>
  <si>
    <t>70*</t>
  </si>
  <si>
    <t>4,40-4,50 м</t>
  </si>
  <si>
    <t>3,10-3,80 м</t>
  </si>
  <si>
    <t>5 шт.</t>
  </si>
  <si>
    <t>4,90 м</t>
  </si>
  <si>
    <t>140 ков.</t>
  </si>
  <si>
    <t>0,99 м (1)</t>
  </si>
  <si>
    <t>3,40-3,60 м (7)</t>
  </si>
  <si>
    <t>2,6;3,3-3,9(5);4,1(4)</t>
  </si>
  <si>
    <t>2,60-2,90 м (9)</t>
  </si>
  <si>
    <t>170 ков.</t>
  </si>
  <si>
    <t>3,50 м (1)</t>
  </si>
  <si>
    <t>2,70 м (4)</t>
  </si>
  <si>
    <t>180 ков.</t>
  </si>
  <si>
    <t>190 ков.</t>
  </si>
  <si>
    <t>1,50 м (1)</t>
  </si>
  <si>
    <t>2,80 м (7)</t>
  </si>
  <si>
    <t>2,90 м (5)</t>
  </si>
  <si>
    <t>3,30-3,70 м (2)</t>
  </si>
  <si>
    <t>2,60-3,50 м</t>
  </si>
  <si>
    <t>230 ков.</t>
  </si>
  <si>
    <t>3,10 м (1)</t>
  </si>
  <si>
    <t>2,90-3,00 м (4)</t>
  </si>
  <si>
    <t>250 ков.</t>
  </si>
  <si>
    <t>3,76 м (1)</t>
  </si>
  <si>
    <t>255 ков.</t>
  </si>
  <si>
    <t>0,54 м (1)</t>
  </si>
  <si>
    <t>3,30 м (2)</t>
  </si>
  <si>
    <t>300 ков.</t>
  </si>
  <si>
    <t>330 ков.</t>
  </si>
  <si>
    <t>340 ков.</t>
  </si>
  <si>
    <t>1,70 м (1)</t>
  </si>
  <si>
    <t>340 ков."</t>
  </si>
  <si>
    <t>1,09 м</t>
  </si>
  <si>
    <t>360 ков.</t>
  </si>
  <si>
    <t>380 ков.</t>
  </si>
  <si>
    <t>420 ков.</t>
  </si>
  <si>
    <t>435 обт.</t>
  </si>
  <si>
    <t>0,195 м</t>
  </si>
  <si>
    <t>450 обт.</t>
  </si>
  <si>
    <t>0,19 м</t>
  </si>
  <si>
    <t>490 ков.</t>
  </si>
  <si>
    <t>1 шт.</t>
  </si>
  <si>
    <t>510 ков.***</t>
  </si>
  <si>
    <t>0,30 м (3)</t>
  </si>
  <si>
    <t>580 ков.***</t>
  </si>
  <si>
    <t>0,34(1); 0,37(1)</t>
  </si>
  <si>
    <t>600 ков.***</t>
  </si>
  <si>
    <t>0,40 м (1)</t>
  </si>
  <si>
    <t>670 ков.***</t>
  </si>
  <si>
    <t>0,36 м (1)</t>
  </si>
  <si>
    <t>710 ков.***</t>
  </si>
  <si>
    <t>0,16(1); 0,30(1)</t>
  </si>
  <si>
    <t>780 ков.***</t>
  </si>
  <si>
    <t>0,62(3); 0,64(1)</t>
  </si>
  <si>
    <t>790 ков.***</t>
  </si>
  <si>
    <t>0,63 м (1)</t>
  </si>
  <si>
    <t>830 ков.***</t>
  </si>
  <si>
    <t>850 ков.***</t>
  </si>
  <si>
    <t>0,64(1); 1,49(1)</t>
  </si>
  <si>
    <t>880 ков.***</t>
  </si>
  <si>
    <t>0,61 м (1)</t>
  </si>
  <si>
    <t xml:space="preserve">   5ХНМ2</t>
  </si>
  <si>
    <t>890 ков.***</t>
  </si>
  <si>
    <t>0,72 м (1)</t>
  </si>
  <si>
    <t>1250 ков.***</t>
  </si>
  <si>
    <t>0,44 м (1)</t>
  </si>
  <si>
    <t>180х180*</t>
  </si>
  <si>
    <t>2,10 м (1)</t>
  </si>
  <si>
    <t>0,57 м</t>
  </si>
  <si>
    <t>250х250*</t>
  </si>
  <si>
    <t>200х310</t>
  </si>
  <si>
    <t>2,10 м</t>
  </si>
  <si>
    <t>1,06 м (1)</t>
  </si>
  <si>
    <t>210х250</t>
  </si>
  <si>
    <t>0,60 м</t>
  </si>
  <si>
    <t>220х240</t>
  </si>
  <si>
    <t>1,39 м (1)</t>
  </si>
  <si>
    <t>265х450</t>
  </si>
  <si>
    <t>0,50 м (1)</t>
  </si>
  <si>
    <t>300х330</t>
  </si>
  <si>
    <t>370х550</t>
  </si>
  <si>
    <t>0,55 м (1)</t>
  </si>
  <si>
    <t>КОЛЬЦА</t>
  </si>
  <si>
    <t>Кольцо</t>
  </si>
  <si>
    <t>420/150***</t>
  </si>
  <si>
    <t>0,08 м (15)</t>
  </si>
  <si>
    <t>430/160***</t>
  </si>
  <si>
    <t>0,10 м (10)</t>
  </si>
  <si>
    <t>460/110***</t>
  </si>
  <si>
    <t>0,35 м (1)</t>
  </si>
  <si>
    <t>500/150***</t>
  </si>
  <si>
    <t>0,33 м (1)</t>
  </si>
  <si>
    <t>510/160***</t>
  </si>
  <si>
    <t>640/150***</t>
  </si>
  <si>
    <t>0,45 м (1)</t>
  </si>
  <si>
    <t>650/150***</t>
  </si>
  <si>
    <t>0,43 м (1)</t>
  </si>
  <si>
    <t>660/150***</t>
  </si>
  <si>
    <t>0,45(1);0,48(1);0,49(1)</t>
  </si>
  <si>
    <t>670/150***</t>
  </si>
  <si>
    <t>0,45(1);0,46(1);0,47(1)</t>
  </si>
  <si>
    <t>670/160***</t>
  </si>
  <si>
    <t>730/240***</t>
  </si>
  <si>
    <t>0,20 м (1)</t>
  </si>
  <si>
    <t>750/440***</t>
  </si>
  <si>
    <t>2,50 м (1)</t>
  </si>
  <si>
    <t>1000/800***</t>
  </si>
  <si>
    <t>0,30 м (1)</t>
  </si>
  <si>
    <t>5ХНВ</t>
  </si>
  <si>
    <t>2,60-3,00 м</t>
  </si>
  <si>
    <t>4,80 м</t>
  </si>
  <si>
    <t xml:space="preserve">5ХНВ </t>
  </si>
  <si>
    <t>2,85 м</t>
  </si>
  <si>
    <t>420 ков.***</t>
  </si>
  <si>
    <t>0,18 м (1)</t>
  </si>
  <si>
    <t>480 ков.***</t>
  </si>
  <si>
    <t>1,38(1); 1,82(1)</t>
  </si>
  <si>
    <t>2,30-2,45 м</t>
  </si>
  <si>
    <t>0,15;0,25;1,40;1,62м</t>
  </si>
  <si>
    <t xml:space="preserve">   7Х3</t>
  </si>
  <si>
    <t xml:space="preserve">9Х1 </t>
  </si>
  <si>
    <t>1,70(1); 3,00(1)</t>
  </si>
  <si>
    <t>9Х1</t>
  </si>
  <si>
    <t>1,65 м (1)</t>
  </si>
  <si>
    <t>2,90-3,00 м (2)</t>
  </si>
  <si>
    <t xml:space="preserve">   9ХС</t>
  </si>
  <si>
    <t>20*</t>
  </si>
  <si>
    <t>25*</t>
  </si>
  <si>
    <t>4,40; 4,60 м</t>
  </si>
  <si>
    <t>4,80; 5,00 м</t>
  </si>
  <si>
    <t>3,00-5,00 м</t>
  </si>
  <si>
    <t>Л</t>
  </si>
  <si>
    <t>55*</t>
  </si>
  <si>
    <t>2,60-5,00 м</t>
  </si>
  <si>
    <t>3,40 м</t>
  </si>
  <si>
    <t>5,00-5,20 м</t>
  </si>
  <si>
    <t>85 ков.</t>
  </si>
  <si>
    <t>2,00 м</t>
  </si>
  <si>
    <t>3,3; 4,2; 4,5 м</t>
  </si>
  <si>
    <t>3,0-3,5; 4,0 м</t>
  </si>
  <si>
    <t>3,70; 5,00 м</t>
  </si>
  <si>
    <t>5,80 м</t>
  </si>
  <si>
    <t>3,70-4,20 м</t>
  </si>
  <si>
    <t>3,2-3,8(4);4,0(2)</t>
  </si>
  <si>
    <t>2,8-3,3(4);3,4(2)</t>
  </si>
  <si>
    <t>2,80-2,90 м (5)</t>
  </si>
  <si>
    <t>3,00-3,30 м (7)</t>
  </si>
  <si>
    <t>3,30 м (3)</t>
  </si>
  <si>
    <t>2,70-3,00 м (4)</t>
  </si>
  <si>
    <t>2,5-2,8(2);3,2(3);3,3(4)</t>
  </si>
  <si>
    <t>1,5(1);1,2(1);2,7(2);3,0(1);3,7(2)</t>
  </si>
  <si>
    <t>2,3(1); 3,4(4)</t>
  </si>
  <si>
    <t>2,30-2,90 м (4)</t>
  </si>
  <si>
    <t>1,20(1); 2,60(1)</t>
  </si>
  <si>
    <t>2,0;3,2-3,3м(2)</t>
  </si>
  <si>
    <t>30х150 ков.*</t>
  </si>
  <si>
    <t>1,43; 1,53 м</t>
  </si>
  <si>
    <t>У8</t>
  </si>
  <si>
    <t>4,00-5,00 м</t>
  </si>
  <si>
    <t xml:space="preserve">   У10 </t>
  </si>
  <si>
    <t>3,80-4,50 м</t>
  </si>
  <si>
    <t>У8А</t>
  </si>
  <si>
    <t>22 отж.</t>
  </si>
  <si>
    <t>5,90 м</t>
  </si>
  <si>
    <t>3,60-4,10 м</t>
  </si>
  <si>
    <t>25 отж.</t>
  </si>
  <si>
    <t>30 отж.</t>
  </si>
  <si>
    <t>4,70; 5,00 м</t>
  </si>
  <si>
    <t>32 отж.</t>
  </si>
  <si>
    <t>36 отж.</t>
  </si>
  <si>
    <t>40 отж.</t>
  </si>
  <si>
    <t>45 отж.</t>
  </si>
  <si>
    <t>50 отж.</t>
  </si>
  <si>
    <t>2,10-2,70 м</t>
  </si>
  <si>
    <t>52 отж.</t>
  </si>
  <si>
    <t>60 отж.</t>
  </si>
  <si>
    <t>70 отж.</t>
  </si>
  <si>
    <t>4,60 м</t>
  </si>
  <si>
    <t>2,70-3,50 м</t>
  </si>
  <si>
    <t>2,80-3,50 м</t>
  </si>
  <si>
    <t xml:space="preserve">   У12 </t>
  </si>
  <si>
    <t>2,75 м</t>
  </si>
  <si>
    <t>3,50-4,10 м</t>
  </si>
  <si>
    <t>3,86-4,25 м</t>
  </si>
  <si>
    <t>3,95 м</t>
  </si>
  <si>
    <t xml:space="preserve">У8А-сш </t>
  </si>
  <si>
    <t>4,30 м</t>
  </si>
  <si>
    <t>3,50-4,00 м</t>
  </si>
  <si>
    <t xml:space="preserve">У8 </t>
  </si>
  <si>
    <t>1,75(1); 3,60(1)</t>
  </si>
  <si>
    <t>110 отж.</t>
  </si>
  <si>
    <t>120 отж.*</t>
  </si>
  <si>
    <t>130 отж."</t>
  </si>
  <si>
    <t>4,50-5,00 м</t>
  </si>
  <si>
    <t>140 отж.</t>
  </si>
  <si>
    <t>4,00 м (9)</t>
  </si>
  <si>
    <t>1,90; 1,98 м</t>
  </si>
  <si>
    <t xml:space="preserve">   У9 </t>
  </si>
  <si>
    <t xml:space="preserve">   У10-ш</t>
  </si>
  <si>
    <t>3,30-3,60 м (4)</t>
  </si>
  <si>
    <t>160 отж.</t>
  </si>
  <si>
    <t>3,20 м (6)</t>
  </si>
  <si>
    <t>3,60 м</t>
  </si>
  <si>
    <t>2,60-2,90 м</t>
  </si>
  <si>
    <t>180 отж.</t>
  </si>
  <si>
    <t>2,80-3,00 м (6)</t>
  </si>
  <si>
    <t xml:space="preserve">   У10А </t>
  </si>
  <si>
    <t>2,10-2,80 м (4)</t>
  </si>
  <si>
    <t>2,80 м (1)</t>
  </si>
  <si>
    <t>2,50 м</t>
  </si>
  <si>
    <t xml:space="preserve">   У7 </t>
  </si>
  <si>
    <t>16х16</t>
  </si>
  <si>
    <t>1,90-4,00 м</t>
  </si>
  <si>
    <t>120х120</t>
  </si>
  <si>
    <t>3,50 м (3)</t>
  </si>
  <si>
    <t xml:space="preserve">   У7</t>
  </si>
  <si>
    <t>135х135</t>
  </si>
  <si>
    <t>2,54 м</t>
  </si>
  <si>
    <t>140х140</t>
  </si>
  <si>
    <t>1,00 м</t>
  </si>
  <si>
    <t>1,03 м</t>
  </si>
  <si>
    <t xml:space="preserve">   У10А</t>
  </si>
  <si>
    <t>230х250</t>
  </si>
  <si>
    <t>1,06 м</t>
  </si>
  <si>
    <t>250х260</t>
  </si>
  <si>
    <t>1,15 м</t>
  </si>
  <si>
    <t>260х260</t>
  </si>
  <si>
    <t>1,05 м</t>
  </si>
  <si>
    <t>270х270</t>
  </si>
  <si>
    <t>1,04-1,15 м</t>
  </si>
  <si>
    <t>У10А</t>
  </si>
  <si>
    <t>10х400</t>
  </si>
  <si>
    <t>12х400</t>
  </si>
  <si>
    <t>40х200</t>
  </si>
  <si>
    <t>0,91 м (1)</t>
  </si>
  <si>
    <t>50х250</t>
  </si>
  <si>
    <t>60х300</t>
  </si>
  <si>
    <t>И</t>
  </si>
  <si>
    <t>60х400</t>
  </si>
  <si>
    <t>100х600</t>
  </si>
  <si>
    <t>2,00 м (2)</t>
  </si>
  <si>
    <t xml:space="preserve">   ХВГ </t>
  </si>
  <si>
    <t>3,50 м</t>
  </si>
  <si>
    <t>2,40-4,10 м</t>
  </si>
  <si>
    <t>30*</t>
  </si>
  <si>
    <t>3,30-5,00 м</t>
  </si>
  <si>
    <t>3,20 м</t>
  </si>
  <si>
    <t>2,70 м</t>
  </si>
  <si>
    <t>1,90-2,65-4,00 м</t>
  </si>
  <si>
    <t>1,20-4,40 м</t>
  </si>
  <si>
    <t>75***</t>
  </si>
  <si>
    <t>2,40-2,90-4,30м</t>
  </si>
  <si>
    <t>2,90-3,40 м</t>
  </si>
  <si>
    <t>4,50-6,00 м</t>
  </si>
  <si>
    <t>1,85-3,10-4,50м</t>
  </si>
  <si>
    <t>3,10-4,50 м</t>
  </si>
  <si>
    <t>100 ков.</t>
  </si>
  <si>
    <t>1,90 м</t>
  </si>
  <si>
    <t>110*</t>
  </si>
  <si>
    <t>5,05; 5,29 м</t>
  </si>
  <si>
    <t>2,40-2,90 м</t>
  </si>
  <si>
    <t>160 ков.</t>
  </si>
  <si>
    <t>1,30-1,50-1,60м</t>
  </si>
  <si>
    <t>170***</t>
  </si>
  <si>
    <t>200 обт.</t>
  </si>
  <si>
    <t>2,17 м (1)</t>
  </si>
  <si>
    <t>210 ков.*</t>
  </si>
  <si>
    <t>1,6;1,72;1,74 м</t>
  </si>
  <si>
    <t>220 ков.*</t>
  </si>
  <si>
    <t>240 ков.</t>
  </si>
  <si>
    <t>1,30 м (2)</t>
  </si>
  <si>
    <t>260***</t>
  </si>
  <si>
    <t>350 ков.</t>
  </si>
  <si>
    <t>50х200</t>
  </si>
  <si>
    <t>1,10; 2,30 м</t>
  </si>
  <si>
    <t>Х12М</t>
  </si>
  <si>
    <t>2,60 м</t>
  </si>
  <si>
    <t>2,10-3,50 м</t>
  </si>
  <si>
    <t xml:space="preserve">Х12М </t>
  </si>
  <si>
    <t>2,50-3,10 м</t>
  </si>
  <si>
    <t>140***</t>
  </si>
  <si>
    <t>1,40 м</t>
  </si>
  <si>
    <t>180***</t>
  </si>
  <si>
    <t xml:space="preserve">   Х12 </t>
  </si>
  <si>
    <t>1,63 м</t>
  </si>
  <si>
    <t>1,70 м</t>
  </si>
  <si>
    <t xml:space="preserve">Х12МФ </t>
  </si>
  <si>
    <t>3,10 м</t>
  </si>
  <si>
    <t>2,8-3,2;3,3м</t>
  </si>
  <si>
    <t>3,30-3,80 м</t>
  </si>
  <si>
    <t>3,17-3,20 м</t>
  </si>
  <si>
    <t>2,10-3,20 м</t>
  </si>
  <si>
    <t>60*</t>
  </si>
  <si>
    <t>2,30-4,00 м</t>
  </si>
  <si>
    <t>70 ков.*</t>
  </si>
  <si>
    <t>90***</t>
  </si>
  <si>
    <t>90 ков.*</t>
  </si>
  <si>
    <t>1,46;1,68;1,7;1,9;2,03</t>
  </si>
  <si>
    <t>2,70-3,30 м</t>
  </si>
  <si>
    <t>100"</t>
  </si>
  <si>
    <t>0,60-2,20 м</t>
  </si>
  <si>
    <t>120"</t>
  </si>
  <si>
    <t>1,30-2,50 м</t>
  </si>
  <si>
    <t>130***</t>
  </si>
  <si>
    <t>150***</t>
  </si>
  <si>
    <t>150 ков.*</t>
  </si>
  <si>
    <t>150"</t>
  </si>
  <si>
    <t>1,40-2,20 м</t>
  </si>
  <si>
    <t>160"</t>
  </si>
  <si>
    <t>0,80-1,90 м</t>
  </si>
  <si>
    <t>160 ков.*</t>
  </si>
  <si>
    <t>180 ков.*</t>
  </si>
  <si>
    <t>0,92; 1,5; 1,8 м</t>
  </si>
  <si>
    <t>200***</t>
  </si>
  <si>
    <t>200"</t>
  </si>
  <si>
    <t>1,30-2,70 м</t>
  </si>
  <si>
    <t>210***</t>
  </si>
  <si>
    <t>220"</t>
  </si>
  <si>
    <t>1,20-1,80 м</t>
  </si>
  <si>
    <t>270"</t>
  </si>
  <si>
    <t>2,25-2,30 м</t>
  </si>
  <si>
    <t>300"</t>
  </si>
  <si>
    <t>3,24 м</t>
  </si>
  <si>
    <t>310***</t>
  </si>
  <si>
    <t>400"</t>
  </si>
  <si>
    <t>0,50 м</t>
  </si>
  <si>
    <t>450"</t>
  </si>
  <si>
    <t>1,20-1,60 м</t>
  </si>
  <si>
    <t>30х150***</t>
  </si>
  <si>
    <t>40х200***</t>
  </si>
  <si>
    <t>40х300 ков.*</t>
  </si>
  <si>
    <t>1,54-1,65 м</t>
  </si>
  <si>
    <t>50х250***</t>
  </si>
  <si>
    <t>50х300 ков.*</t>
  </si>
  <si>
    <t>60х250</t>
  </si>
  <si>
    <t>1,10 м (7)</t>
  </si>
  <si>
    <t>60х300"</t>
  </si>
  <si>
    <t>0,94 м</t>
  </si>
  <si>
    <t>60х300***</t>
  </si>
  <si>
    <t>60х350 ков.*</t>
  </si>
  <si>
    <t>70х350 ков.*</t>
  </si>
  <si>
    <t>75х250</t>
  </si>
  <si>
    <t>1,61 м (1)</t>
  </si>
  <si>
    <t>80х380***</t>
  </si>
  <si>
    <t>95х285"</t>
  </si>
  <si>
    <t>100х500 ков.*</t>
  </si>
  <si>
    <t xml:space="preserve">   Х12Ф1</t>
  </si>
  <si>
    <t>16***</t>
  </si>
  <si>
    <t>18***</t>
  </si>
  <si>
    <t>40***</t>
  </si>
  <si>
    <t xml:space="preserve">   Х12Ф1ш</t>
  </si>
  <si>
    <t>1,50-4,30 м</t>
  </si>
  <si>
    <t>1,20 м</t>
  </si>
  <si>
    <t>0,64;1,2;1,69 м</t>
  </si>
  <si>
    <t>0,6; 1,2-1,45 м</t>
  </si>
  <si>
    <t>10х60***</t>
  </si>
  <si>
    <t>БЫСТРОРЕЖУЩИЕ СТАЛИ</t>
  </si>
  <si>
    <t>Р18</t>
  </si>
  <si>
    <t>6 серебрянка</t>
  </si>
  <si>
    <t>10***</t>
  </si>
  <si>
    <t>12***</t>
  </si>
  <si>
    <t>14***</t>
  </si>
  <si>
    <t>25***</t>
  </si>
  <si>
    <t>30***</t>
  </si>
  <si>
    <t>35***</t>
  </si>
  <si>
    <t>45***</t>
  </si>
  <si>
    <t>55***</t>
  </si>
  <si>
    <t>60***</t>
  </si>
  <si>
    <t>65***</t>
  </si>
  <si>
    <t>105*</t>
  </si>
  <si>
    <t>160***</t>
  </si>
  <si>
    <t>180*</t>
  </si>
  <si>
    <t xml:space="preserve">   Р6М5 </t>
  </si>
  <si>
    <t>35*</t>
  </si>
  <si>
    <t>45*</t>
  </si>
  <si>
    <t>11Р3АМ3Ф2</t>
  </si>
  <si>
    <t>ЭЛЕКТРОТЕХНИЧЕСКИЕ СТАЛИ</t>
  </si>
  <si>
    <t>Э10895</t>
  </si>
  <si>
    <t>3,25 м (1)</t>
  </si>
  <si>
    <t>КОНСТРУКЦИОННЫЕ ЛЕГИРОВАННЫЕ СТАЛИ</t>
  </si>
  <si>
    <t>12Х2Н4А</t>
  </si>
  <si>
    <t>12Х2Н4А-ш</t>
  </si>
  <si>
    <t>2,82-4,05 м</t>
  </si>
  <si>
    <t>2,00-3,80 м</t>
  </si>
  <si>
    <t>4,40 м</t>
  </si>
  <si>
    <t>2,80 м</t>
  </si>
  <si>
    <t xml:space="preserve">12Х2Н4А </t>
  </si>
  <si>
    <t>2,80-3,20 м</t>
  </si>
  <si>
    <t>2,90-4,70 м</t>
  </si>
  <si>
    <t>2,5; 5,0-5,2 м</t>
  </si>
  <si>
    <t>уточнить</t>
  </si>
  <si>
    <t xml:space="preserve">12Х2Н4А-вд </t>
  </si>
  <si>
    <t xml:space="preserve"> Круг </t>
  </si>
  <si>
    <t>3,40 м (1)</t>
  </si>
  <si>
    <t xml:space="preserve">   18Х2Н4МА </t>
  </si>
  <si>
    <t>3,00-4,00 м</t>
  </si>
  <si>
    <t xml:space="preserve">   18Х2Н4ВА </t>
  </si>
  <si>
    <t>2,50-3,00 м</t>
  </si>
  <si>
    <t xml:space="preserve">   18Х2Н4ВА-ш</t>
  </si>
  <si>
    <t>2,68-4,97 м</t>
  </si>
  <si>
    <t xml:space="preserve">   18Х2Н4ВА</t>
  </si>
  <si>
    <t>210х210</t>
  </si>
  <si>
    <t>220х220</t>
  </si>
  <si>
    <t>2,62 м</t>
  </si>
  <si>
    <t xml:space="preserve">20Х2Н4А </t>
  </si>
  <si>
    <t>32 отж</t>
  </si>
  <si>
    <t>3,30-4,60 м</t>
  </si>
  <si>
    <t>4,40-5,00 м</t>
  </si>
  <si>
    <t>4,20-4,60 м</t>
  </si>
  <si>
    <t>2,80-4,40 м</t>
  </si>
  <si>
    <t>3,30 м (1)</t>
  </si>
  <si>
    <t>1,60; 2,70 м</t>
  </si>
  <si>
    <t>4,55 м</t>
  </si>
  <si>
    <t>200 отж.</t>
  </si>
  <si>
    <t>1,75 м (1)</t>
  </si>
  <si>
    <t>3,60 м (1)</t>
  </si>
  <si>
    <t>12ХН3А</t>
  </si>
  <si>
    <t>24 отж.</t>
  </si>
  <si>
    <t xml:space="preserve">12ХН3А </t>
  </si>
  <si>
    <t>4,10 м</t>
  </si>
  <si>
    <t>12ХН3А-ш</t>
  </si>
  <si>
    <t>4,05-4,37 м</t>
  </si>
  <si>
    <t>6,00 м</t>
  </si>
  <si>
    <t>5,50 м</t>
  </si>
  <si>
    <t>4,00-6,00 м</t>
  </si>
  <si>
    <t>3,30-3,66 м</t>
  </si>
  <si>
    <t>4,1; 2,5-4,6 м</t>
  </si>
  <si>
    <t>3,5-4,5-6,0 м</t>
  </si>
  <si>
    <t xml:space="preserve">12ХН3А-ш </t>
  </si>
  <si>
    <t>2,20-3,50 м</t>
  </si>
  <si>
    <t xml:space="preserve">12ХН3А-сш  </t>
  </si>
  <si>
    <t>2,00-5,10 м</t>
  </si>
  <si>
    <t>1,9; 2,3; 0,75</t>
  </si>
  <si>
    <t>Ли</t>
  </si>
  <si>
    <t>5,0-5,6; 6,0 м</t>
  </si>
  <si>
    <t>2,4;3,0;4,9 м</t>
  </si>
  <si>
    <t>1,80 м (1)</t>
  </si>
  <si>
    <t>1,90 м (1)</t>
  </si>
  <si>
    <t>0,90; 1,40 м</t>
  </si>
  <si>
    <t xml:space="preserve">   20ХН3А </t>
  </si>
  <si>
    <t>5,40 м</t>
  </si>
  <si>
    <t>2,93;3,31;4,01</t>
  </si>
  <si>
    <t>3,90 м</t>
  </si>
  <si>
    <t>3,80-5,00 м</t>
  </si>
  <si>
    <t>0,06; 2,30 м</t>
  </si>
  <si>
    <t>2,30-2,90 м (2)</t>
  </si>
  <si>
    <t>Шест.</t>
  </si>
  <si>
    <t>30ХГСА</t>
  </si>
  <si>
    <t>5,6 кал.</t>
  </si>
  <si>
    <t>2,43-2,62 м</t>
  </si>
  <si>
    <t xml:space="preserve">   35ХГСА </t>
  </si>
  <si>
    <t xml:space="preserve">   20ХГСА</t>
  </si>
  <si>
    <t>3,18 м</t>
  </si>
  <si>
    <t>2,68-2,76 м</t>
  </si>
  <si>
    <t xml:space="preserve">30ХГСА </t>
  </si>
  <si>
    <t>5,00-5,50 м</t>
  </si>
  <si>
    <t xml:space="preserve">   30ХГСН2А</t>
  </si>
  <si>
    <t>3,84-4,00 м</t>
  </si>
  <si>
    <t>3,20-3,70 м</t>
  </si>
  <si>
    <t>5,00 м (1)</t>
  </si>
  <si>
    <t>1,00 м (1)</t>
  </si>
  <si>
    <t>130х360</t>
  </si>
  <si>
    <t>2,21 м (1)</t>
  </si>
  <si>
    <t xml:space="preserve">   38Х2МЮА</t>
  </si>
  <si>
    <t>4,94-5,68 м</t>
  </si>
  <si>
    <t>2,30-4,95 м</t>
  </si>
  <si>
    <t>3,18-4,35 м</t>
  </si>
  <si>
    <t>3,60-4,00 м (4)</t>
  </si>
  <si>
    <t>3,20 м (1)</t>
  </si>
  <si>
    <t xml:space="preserve">Л </t>
  </si>
  <si>
    <t>4,00-4,30 м (7)</t>
  </si>
  <si>
    <t>3,20 м (2)</t>
  </si>
  <si>
    <t>2,70 м (1)</t>
  </si>
  <si>
    <t>3,0(2);3,2-3,5(4)</t>
  </si>
  <si>
    <t>3,1(2); 3,3(1)</t>
  </si>
  <si>
    <t>1,7(2);3,4;3,6(2)</t>
  </si>
  <si>
    <t>2,11(1); 3,44(3)</t>
  </si>
  <si>
    <t>2,25 м (1)</t>
  </si>
  <si>
    <t>130х130 ков.</t>
  </si>
  <si>
    <t>1,36 м</t>
  </si>
  <si>
    <t xml:space="preserve">   38ХН3МФА </t>
  </si>
  <si>
    <t>170 отж.</t>
  </si>
  <si>
    <t xml:space="preserve">   38ХН3МФА-ш</t>
  </si>
  <si>
    <t>80х200</t>
  </si>
  <si>
    <t>110х210</t>
  </si>
  <si>
    <t>40ХН2МА</t>
  </si>
  <si>
    <t>3,52-5,00 м</t>
  </si>
  <si>
    <t xml:space="preserve">40ХН2МА </t>
  </si>
  <si>
    <t>3,80-5,20 м</t>
  </si>
  <si>
    <t xml:space="preserve">   40ХН2ВА </t>
  </si>
  <si>
    <t>5,20 м</t>
  </si>
  <si>
    <t>4,00-5,20 м</t>
  </si>
  <si>
    <t>4,00-4,50 м</t>
  </si>
  <si>
    <t>120 отж.</t>
  </si>
  <si>
    <t>4,20 м (6)</t>
  </si>
  <si>
    <t>3,0 (1); 3,3 (1)</t>
  </si>
  <si>
    <t>6,00 м (1)</t>
  </si>
  <si>
    <t>2,40-3,00 м (3)</t>
  </si>
  <si>
    <t>2,80-3,00 м (4)</t>
  </si>
  <si>
    <t>3,30-3,40 м (2)</t>
  </si>
  <si>
    <t>3,20 м (3)</t>
  </si>
  <si>
    <t>2,00 м (1)</t>
  </si>
  <si>
    <t>310"</t>
  </si>
  <si>
    <t>4,60-5,00 м</t>
  </si>
  <si>
    <t>320"</t>
  </si>
  <si>
    <t>2,00-2,20 м</t>
  </si>
  <si>
    <t>420 ков."</t>
  </si>
  <si>
    <t>0,43 м</t>
  </si>
  <si>
    <t>3,00 м (2 шт.)</t>
  </si>
  <si>
    <t xml:space="preserve">   38Х2Н2МА </t>
  </si>
  <si>
    <t xml:space="preserve">   40Х2Н2МА </t>
  </si>
  <si>
    <t>230х230</t>
  </si>
  <si>
    <t>Вал</t>
  </si>
  <si>
    <t>1,80 м</t>
  </si>
  <si>
    <t>45ХН2МФАш</t>
  </si>
  <si>
    <t xml:space="preserve">45ХН2МФА </t>
  </si>
  <si>
    <t>3,06-5,55 м</t>
  </si>
  <si>
    <t>4,84-4,87 м</t>
  </si>
  <si>
    <t>1,90-4,65 м</t>
  </si>
  <si>
    <t>150х190</t>
  </si>
  <si>
    <t>3,13 м</t>
  </si>
  <si>
    <t>155х200</t>
  </si>
  <si>
    <t>1,35 м</t>
  </si>
  <si>
    <t xml:space="preserve">   40ХН </t>
  </si>
  <si>
    <t>4,20 м</t>
  </si>
  <si>
    <t>1,38 м (1)</t>
  </si>
  <si>
    <t>3,56 м</t>
  </si>
  <si>
    <t>4,4(1); 6,0(4)</t>
  </si>
  <si>
    <t>2,5-2,7(2);3,4(8)</t>
  </si>
  <si>
    <t>170 обт.</t>
  </si>
  <si>
    <t>3,20-3,40 м (2)</t>
  </si>
  <si>
    <t>0,67;0,83;1,15м</t>
  </si>
  <si>
    <t>3,20 м (9)</t>
  </si>
  <si>
    <t>270*</t>
  </si>
  <si>
    <t>280*</t>
  </si>
  <si>
    <t>320 ков.</t>
  </si>
  <si>
    <t>0,23 м</t>
  </si>
  <si>
    <t>330"</t>
  </si>
  <si>
    <t xml:space="preserve">   45ХН</t>
  </si>
  <si>
    <t xml:space="preserve">   40ХН</t>
  </si>
  <si>
    <t>330х855х1350</t>
  </si>
  <si>
    <t>340х860х1340</t>
  </si>
  <si>
    <t>РЕССОРНО-ПРУЖИННЫЕ СТАЛИ</t>
  </si>
  <si>
    <t>50ХФА</t>
  </si>
  <si>
    <t>3,10-3,60 м</t>
  </si>
  <si>
    <t xml:space="preserve">   60Г</t>
  </si>
  <si>
    <t>3,17-5,81 м</t>
  </si>
  <si>
    <t xml:space="preserve">   60С2А</t>
  </si>
  <si>
    <t>14,6 кал.</t>
  </si>
  <si>
    <t>45 обт.</t>
  </si>
  <si>
    <t>60С2ХФА</t>
  </si>
  <si>
    <t xml:space="preserve">65Г </t>
  </si>
  <si>
    <t>3,93-5,59 м</t>
  </si>
  <si>
    <t>2 шт.</t>
  </si>
  <si>
    <t>3,80-4,10 м (2)</t>
  </si>
  <si>
    <t>3,80 м (2)</t>
  </si>
  <si>
    <t>2,8 (1); 3,3 (1)</t>
  </si>
  <si>
    <t>2,50; 3,00 м (2)</t>
  </si>
  <si>
    <t>2,50-3,10 м (3)</t>
  </si>
  <si>
    <t>65Г</t>
  </si>
  <si>
    <t>1,6х1,6 кал.</t>
  </si>
  <si>
    <t>4,5х4,5 кал.</t>
  </si>
  <si>
    <t xml:space="preserve">   75Г</t>
  </si>
  <si>
    <t>ШАРИКОПОДШИПНИКОВЫЕ СТАЛИ</t>
  </si>
  <si>
    <t>ШХ15-В</t>
  </si>
  <si>
    <t>14 отж.</t>
  </si>
  <si>
    <t>ШХ15</t>
  </si>
  <si>
    <t>ШХ15СГ-В</t>
  </si>
  <si>
    <t>31 отж.</t>
  </si>
  <si>
    <t>38 отж.</t>
  </si>
  <si>
    <t>48 отж.</t>
  </si>
  <si>
    <t>3,50-4,50 м</t>
  </si>
  <si>
    <t>53 отж.</t>
  </si>
  <si>
    <t>55 отж.</t>
  </si>
  <si>
    <t>2,83-3,62 м</t>
  </si>
  <si>
    <t>75 отж.</t>
  </si>
  <si>
    <t>3,80; 4,40 м</t>
  </si>
  <si>
    <t>85 отж.</t>
  </si>
  <si>
    <t>100 отж.</t>
  </si>
  <si>
    <t>1,00; 3,00 м</t>
  </si>
  <si>
    <t>ШХ20СГ-В</t>
  </si>
  <si>
    <t>210 отж.</t>
  </si>
  <si>
    <t>240 отж.</t>
  </si>
  <si>
    <t>ТЕПЛОУСТОЙЧИВЫЕ СТАЛИ</t>
  </si>
  <si>
    <t>12Х1МФ</t>
  </si>
  <si>
    <t xml:space="preserve">   25Х1МФ</t>
  </si>
  <si>
    <t>42 отж.</t>
  </si>
  <si>
    <t>1,29 м</t>
  </si>
  <si>
    <t>150х150 ков.</t>
  </si>
  <si>
    <t>160х160 ков.</t>
  </si>
  <si>
    <t>200х200 ков.</t>
  </si>
  <si>
    <t>25Х1М1Ф</t>
  </si>
  <si>
    <t xml:space="preserve">   20Х3МВФ-ш</t>
  </si>
  <si>
    <t>2,27-3,30 м</t>
  </si>
  <si>
    <t>2,07-4,03 м</t>
  </si>
  <si>
    <t>2,36-3,25 м</t>
  </si>
  <si>
    <t xml:space="preserve">   20Х3МВФ </t>
  </si>
  <si>
    <t>3,00-3,60 м</t>
  </si>
  <si>
    <t>2,46-3,50 м</t>
  </si>
  <si>
    <t>12МХ</t>
  </si>
  <si>
    <t>190х200</t>
  </si>
  <si>
    <t>2,37 м</t>
  </si>
  <si>
    <t>1,74-2,40 м</t>
  </si>
  <si>
    <t>245х250</t>
  </si>
  <si>
    <t>2,55 м</t>
  </si>
  <si>
    <t xml:space="preserve">   30ХМА</t>
  </si>
  <si>
    <t xml:space="preserve">   20ХМ</t>
  </si>
  <si>
    <t>3,10;4,57;5,05</t>
  </si>
  <si>
    <t>130 обт.</t>
  </si>
  <si>
    <t xml:space="preserve">   38ХМА</t>
  </si>
  <si>
    <t xml:space="preserve">   35ХМ</t>
  </si>
  <si>
    <t xml:space="preserve">   15ХМ</t>
  </si>
  <si>
    <t xml:space="preserve">   30ХМ</t>
  </si>
  <si>
    <t>1,04 м</t>
  </si>
  <si>
    <t>41 отж.</t>
  </si>
  <si>
    <t>НЕРЖАВЕЮЩИЕ СТАЛИ со склада в г. Каменске-Уральском</t>
  </si>
  <si>
    <t xml:space="preserve">   12Х18Н10Т</t>
  </si>
  <si>
    <t>12Х13</t>
  </si>
  <si>
    <t>2,40 м</t>
  </si>
  <si>
    <t xml:space="preserve">   20Х13</t>
  </si>
  <si>
    <t>2,60; 4,00 м</t>
  </si>
  <si>
    <t>3,50-4,70 м</t>
  </si>
  <si>
    <t>3,40-4,70 м</t>
  </si>
  <si>
    <t>1,50-2,60 м</t>
  </si>
  <si>
    <t>100х450</t>
  </si>
  <si>
    <t>30Х13</t>
  </si>
  <si>
    <t>4,50; 5,00 м</t>
  </si>
  <si>
    <t>530 ков."</t>
  </si>
  <si>
    <t xml:space="preserve">   40Х13</t>
  </si>
  <si>
    <t>3,00-3,50 м</t>
  </si>
  <si>
    <t>14Х17Н2</t>
  </si>
  <si>
    <t xml:space="preserve">   25Х13Н2</t>
  </si>
  <si>
    <t>15Х25Т</t>
  </si>
  <si>
    <t>ПОЛНЫЙ ПРАЙС-ЛИСТ НА НЕРЖАВЕЮЩИЕ СТАЛИ СМОТРИТЕ НА САЙТЕ</t>
  </si>
  <si>
    <t>КОНСТРУКЦИОННЫЕ СТАЛИ</t>
  </si>
  <si>
    <t>ст.3</t>
  </si>
  <si>
    <t>бухты</t>
  </si>
  <si>
    <t>5,70-6,50 м</t>
  </si>
  <si>
    <t>ст.3сп</t>
  </si>
  <si>
    <t>3,80-4,80 м</t>
  </si>
  <si>
    <t>ст.3кп</t>
  </si>
  <si>
    <t>1,50; 7,50 м</t>
  </si>
  <si>
    <t>ст.3пс</t>
  </si>
  <si>
    <t>3,10; 6,00 м</t>
  </si>
  <si>
    <t>4,17-4,86 м</t>
  </si>
  <si>
    <t>3,01 м</t>
  </si>
  <si>
    <t>4,90 м (1)</t>
  </si>
  <si>
    <t>4х100</t>
  </si>
  <si>
    <t>6,20-6,30 м</t>
  </si>
  <si>
    <t xml:space="preserve">   ст.5</t>
  </si>
  <si>
    <t xml:space="preserve">   ст.5сп</t>
  </si>
  <si>
    <t xml:space="preserve">   ст.5пс</t>
  </si>
  <si>
    <t>ст.10</t>
  </si>
  <si>
    <t>3,5 кал.</t>
  </si>
  <si>
    <t>9,5 кал.</t>
  </si>
  <si>
    <t>5,00-6,00 м</t>
  </si>
  <si>
    <t>3,30 м</t>
  </si>
  <si>
    <t xml:space="preserve">   ст.15</t>
  </si>
  <si>
    <t>ст.20</t>
  </si>
  <si>
    <t>15 кал.</t>
  </si>
  <si>
    <t>5,50-7,00 м</t>
  </si>
  <si>
    <t>6,00-8,00 м</t>
  </si>
  <si>
    <t>1,67-6,06 м</t>
  </si>
  <si>
    <t>4,70-5,50 м</t>
  </si>
  <si>
    <t>2,60-5,20 м</t>
  </si>
  <si>
    <t>3,46-5,06 м</t>
  </si>
  <si>
    <t>2,72-3,15 м</t>
  </si>
  <si>
    <t>2,2-4,5-5,0 м</t>
  </si>
  <si>
    <t>1,68-5,02 м</t>
  </si>
  <si>
    <t>4,42;5,15;5,74;6,02</t>
  </si>
  <si>
    <t>3,7(3); 4,30 м</t>
  </si>
  <si>
    <t>3,57 м</t>
  </si>
  <si>
    <t>1,23 м</t>
  </si>
  <si>
    <t>2,45 м (1)</t>
  </si>
  <si>
    <t>0,85 м</t>
  </si>
  <si>
    <t>230 обт.</t>
  </si>
  <si>
    <t>1,5; 2,8-3,3 (2)</t>
  </si>
  <si>
    <t>120х140</t>
  </si>
  <si>
    <t>390х520</t>
  </si>
  <si>
    <t>0,64 м</t>
  </si>
  <si>
    <t>390х530</t>
  </si>
  <si>
    <t>390х540</t>
  </si>
  <si>
    <t>0,63 м</t>
  </si>
  <si>
    <t>5х65</t>
  </si>
  <si>
    <t>6х22</t>
  </si>
  <si>
    <t>в бухтах</t>
  </si>
  <si>
    <t>16х140</t>
  </si>
  <si>
    <t>5,20-7,60 м</t>
  </si>
  <si>
    <t xml:space="preserve">   ст.25</t>
  </si>
  <si>
    <t>23 кал.</t>
  </si>
  <si>
    <t>3,66-3,78 м</t>
  </si>
  <si>
    <t>2,91-4,45 м</t>
  </si>
  <si>
    <t>4,72-4,92 м</t>
  </si>
  <si>
    <t>ст.30</t>
  </si>
  <si>
    <t>3,04 м</t>
  </si>
  <si>
    <t xml:space="preserve">   ст.35</t>
  </si>
  <si>
    <t>10,8 кал.</t>
  </si>
  <si>
    <t>5,30 м</t>
  </si>
  <si>
    <t>3,22-4,51 м</t>
  </si>
  <si>
    <t>24 кал.</t>
  </si>
  <si>
    <t>6,05-6,26 м</t>
  </si>
  <si>
    <t>6,30-6,75 м</t>
  </si>
  <si>
    <t>3,80-4,00 м</t>
  </si>
  <si>
    <t>3,20-3,60 м</t>
  </si>
  <si>
    <t>4,03;4,91;5,45</t>
  </si>
  <si>
    <t>3,50-6,00 м</t>
  </si>
  <si>
    <t>150х360</t>
  </si>
  <si>
    <t>2,48 м</t>
  </si>
  <si>
    <t>ст.40</t>
  </si>
  <si>
    <t>140х300</t>
  </si>
  <si>
    <t>1,50 м (1шт)</t>
  </si>
  <si>
    <t xml:space="preserve">   ст.45</t>
  </si>
  <si>
    <t>4 кал.</t>
  </si>
  <si>
    <t>5,2-5,6 кал.</t>
  </si>
  <si>
    <t>17 кал.</t>
  </si>
  <si>
    <t>19 кал.</t>
  </si>
  <si>
    <t>4,00-6,40 м</t>
  </si>
  <si>
    <t>25 кал.</t>
  </si>
  <si>
    <t>5,10 м</t>
  </si>
  <si>
    <t>0,92-0,94 м</t>
  </si>
  <si>
    <t>4,10-5,70 м</t>
  </si>
  <si>
    <t>4,20-5,00 м</t>
  </si>
  <si>
    <t>4,03 м</t>
  </si>
  <si>
    <t>3,87-4,66 м</t>
  </si>
  <si>
    <t>3,00 м (1)</t>
  </si>
  <si>
    <t>2,70(1); 3,80(1)</t>
  </si>
  <si>
    <t>340"</t>
  </si>
  <si>
    <t>350"</t>
  </si>
  <si>
    <t>3,50-3,60 м</t>
  </si>
  <si>
    <t>460 ков."</t>
  </si>
  <si>
    <t>0,45 м</t>
  </si>
  <si>
    <t>520 ков.</t>
  </si>
  <si>
    <t>0,88 м (1)</t>
  </si>
  <si>
    <t>670 ков."</t>
  </si>
  <si>
    <t>6,06-6,27 м</t>
  </si>
  <si>
    <t>300х370</t>
  </si>
  <si>
    <t>0,52 м</t>
  </si>
  <si>
    <t>310х350</t>
  </si>
  <si>
    <t>310х360</t>
  </si>
  <si>
    <t>0,51; 0,56 м</t>
  </si>
  <si>
    <t>135х175</t>
  </si>
  <si>
    <t>1,07-1,10 м</t>
  </si>
  <si>
    <t>140х175</t>
  </si>
  <si>
    <t>1,08 м</t>
  </si>
  <si>
    <t>140х180</t>
  </si>
  <si>
    <t>1,06-1,17 м</t>
  </si>
  <si>
    <t>160х400</t>
  </si>
  <si>
    <t>2,37 м (1)</t>
  </si>
  <si>
    <t>170х230</t>
  </si>
  <si>
    <t>1,10 м</t>
  </si>
  <si>
    <t>175х190</t>
  </si>
  <si>
    <t>175х235</t>
  </si>
  <si>
    <t>1,09-1,13 м</t>
  </si>
  <si>
    <t>175х240</t>
  </si>
  <si>
    <t>180х185</t>
  </si>
  <si>
    <t>1,14 м</t>
  </si>
  <si>
    <t>180х235</t>
  </si>
  <si>
    <t>1,08-1,13 м</t>
  </si>
  <si>
    <t>185х225</t>
  </si>
  <si>
    <t>190х225</t>
  </si>
  <si>
    <t>190х235</t>
  </si>
  <si>
    <t>230х280</t>
  </si>
  <si>
    <t>1,19 м</t>
  </si>
  <si>
    <t>235х290</t>
  </si>
  <si>
    <t>1,12 м</t>
  </si>
  <si>
    <t>245х280</t>
  </si>
  <si>
    <t>245х285</t>
  </si>
  <si>
    <t>1,10; 1,13 м</t>
  </si>
  <si>
    <t>245х290</t>
  </si>
  <si>
    <t>1,11 м</t>
  </si>
  <si>
    <t>250х275</t>
  </si>
  <si>
    <t>250х285</t>
  </si>
  <si>
    <t>250х800</t>
  </si>
  <si>
    <t>260х770</t>
  </si>
  <si>
    <t>360х900х1350</t>
  </si>
  <si>
    <t>370х900х1340</t>
  </si>
  <si>
    <t>ст.50</t>
  </si>
  <si>
    <t>3,06 м</t>
  </si>
  <si>
    <t xml:space="preserve">   20Х</t>
  </si>
  <si>
    <t>2,70-4,50 м</t>
  </si>
  <si>
    <t>3,26 м</t>
  </si>
  <si>
    <t>2,40-5,20 м</t>
  </si>
  <si>
    <t>9,58; 9,60 м</t>
  </si>
  <si>
    <t>30Х</t>
  </si>
  <si>
    <t xml:space="preserve">   38ХА</t>
  </si>
  <si>
    <t>2,80-3,10 м</t>
  </si>
  <si>
    <t>7,5 кал.</t>
  </si>
  <si>
    <t>2,87-2,93 м</t>
  </si>
  <si>
    <t>3,45 м</t>
  </si>
  <si>
    <t>18 кал.</t>
  </si>
  <si>
    <t>3,84-5,45 м</t>
  </si>
  <si>
    <t>3,35-4,95 м</t>
  </si>
  <si>
    <t>2,87-4,36 м</t>
  </si>
  <si>
    <t>4,50-4,54 м</t>
  </si>
  <si>
    <t>4,55-5,44 м</t>
  </si>
  <si>
    <t>4,42-5,11 м</t>
  </si>
  <si>
    <t>2,87-4,01 м</t>
  </si>
  <si>
    <t>40Х</t>
  </si>
  <si>
    <t>4,90-6,02 м</t>
  </si>
  <si>
    <t>5,04-5,40 м</t>
  </si>
  <si>
    <t>4,00 м (3)</t>
  </si>
  <si>
    <t>45Х</t>
  </si>
  <si>
    <t>2,30 м (1)</t>
  </si>
  <si>
    <t>2,38 м</t>
  </si>
  <si>
    <r>
      <t>1,128</t>
    </r>
    <r>
      <rPr>
        <sz val="10"/>
        <rFont val="Arial"/>
        <family val="0"/>
      </rPr>
      <t xml:space="preserve"> - Л</t>
    </r>
  </si>
  <si>
    <t>3,10 м (3)</t>
  </si>
  <si>
    <t>3,00 м (2)</t>
  </si>
  <si>
    <t>2,80;2,83</t>
  </si>
  <si>
    <t>4,80-5,00 м</t>
  </si>
  <si>
    <t>350 ков."</t>
  </si>
  <si>
    <t>370 ков."</t>
  </si>
  <si>
    <t>380 ков."</t>
  </si>
  <si>
    <t>13х13 кал.</t>
  </si>
  <si>
    <t>3,00-3,05 м</t>
  </si>
  <si>
    <t>14х14 кал.</t>
  </si>
  <si>
    <t>3,04-3,20 м</t>
  </si>
  <si>
    <t>32х32</t>
  </si>
  <si>
    <t>КРУГ КАЛИБРОВАННЫЙ</t>
  </si>
  <si>
    <t>ст.45</t>
  </si>
  <si>
    <t>ст.А12</t>
  </si>
  <si>
    <t xml:space="preserve">ст.45 </t>
  </si>
  <si>
    <t xml:space="preserve">ст.А12 </t>
  </si>
  <si>
    <t>5,2-5,6</t>
  </si>
  <si>
    <t>ШЕСТИГРАННИК</t>
  </si>
  <si>
    <t>Шгр.кал.</t>
  </si>
  <si>
    <t>38ХА</t>
  </si>
  <si>
    <t>3,84-4,87 м</t>
  </si>
  <si>
    <t>Шгр.</t>
  </si>
  <si>
    <t>ст.35</t>
  </si>
  <si>
    <t>3,90-4,30 м</t>
  </si>
  <si>
    <t>4,32-4,85 м</t>
  </si>
  <si>
    <t>4,43 м</t>
  </si>
  <si>
    <t>4,70-4,99 м</t>
  </si>
  <si>
    <t>3,90-4,31 м</t>
  </si>
  <si>
    <t>5,75 м</t>
  </si>
  <si>
    <t>3,87-5,90 м</t>
  </si>
  <si>
    <t>4,00-4,34 м</t>
  </si>
  <si>
    <t>4,40-6,20 м</t>
  </si>
  <si>
    <t>3,07-4,25 м</t>
  </si>
  <si>
    <t>ПРОЧИЙ МЕТАЛЛ</t>
  </si>
  <si>
    <t>Х5Н30</t>
  </si>
  <si>
    <t>1,17-1,85 м</t>
  </si>
  <si>
    <t>40Х9С2</t>
  </si>
  <si>
    <t>Н18К9М5Т</t>
  </si>
  <si>
    <t>19ХГН</t>
  </si>
  <si>
    <t>20ХН</t>
  </si>
  <si>
    <t>20ХГНМ</t>
  </si>
  <si>
    <t>20ХН2М</t>
  </si>
  <si>
    <t>2,00-4,90 м</t>
  </si>
  <si>
    <t>12ХН</t>
  </si>
  <si>
    <t>12ГС</t>
  </si>
  <si>
    <t>4,89-5,89 м</t>
  </si>
  <si>
    <t xml:space="preserve">60Х2Н2М </t>
  </si>
  <si>
    <t>12ХН2</t>
  </si>
  <si>
    <t>35Х3НМ-ш</t>
  </si>
  <si>
    <t>3,80-4,70 м</t>
  </si>
  <si>
    <t>ст.80</t>
  </si>
  <si>
    <t>3,72-5,03 м</t>
  </si>
  <si>
    <t>45Х3</t>
  </si>
  <si>
    <t>3,97; 4,70 м</t>
  </si>
  <si>
    <t>60Х2Н2М</t>
  </si>
  <si>
    <t>40ХС</t>
  </si>
  <si>
    <t>14ХГН</t>
  </si>
  <si>
    <t>09Г2С</t>
  </si>
  <si>
    <t>2,27-6,02 м</t>
  </si>
  <si>
    <t>6ХВ2Г</t>
  </si>
  <si>
    <t>4,06 м</t>
  </si>
  <si>
    <t>13Х3НВМ2-ш</t>
  </si>
  <si>
    <t>2,74-3,61 м</t>
  </si>
  <si>
    <t>14Х2Н3МА</t>
  </si>
  <si>
    <t>2,98;3,06;3,06</t>
  </si>
  <si>
    <t>25ХСНВФА</t>
  </si>
  <si>
    <t>18ХГТ</t>
  </si>
  <si>
    <t>20ХГНР</t>
  </si>
  <si>
    <t>ХВГ</t>
  </si>
  <si>
    <t>2,53-3,04 м</t>
  </si>
  <si>
    <t>3,04-6,03 м</t>
  </si>
  <si>
    <t>20Г</t>
  </si>
  <si>
    <t>30Г2А</t>
  </si>
  <si>
    <t>4,21 м</t>
  </si>
  <si>
    <t>50Г</t>
  </si>
  <si>
    <t>30Х2ГСН2ВМ</t>
  </si>
  <si>
    <t>18ХГ</t>
  </si>
  <si>
    <t>5,00-5,60 м</t>
  </si>
  <si>
    <t>25ХГ</t>
  </si>
  <si>
    <t>75ХМФ</t>
  </si>
  <si>
    <t>1,1-1,5 (2шт)</t>
  </si>
  <si>
    <t>250/290 ков.</t>
  </si>
  <si>
    <t>4,05 м</t>
  </si>
  <si>
    <t>280/300 ков.</t>
  </si>
  <si>
    <t>2,57 м</t>
  </si>
  <si>
    <t>1,27 м</t>
  </si>
  <si>
    <t>1,32 м</t>
  </si>
  <si>
    <t>Вал Ø150х340</t>
  </si>
  <si>
    <t>3,83 м</t>
  </si>
  <si>
    <t>20Х</t>
  </si>
  <si>
    <t>Вал Ø150х190х150</t>
  </si>
  <si>
    <t>2,82 м</t>
  </si>
  <si>
    <t>4Х2В5ФМ</t>
  </si>
  <si>
    <t>1,14;1,18;1,18</t>
  </si>
  <si>
    <t>Х</t>
  </si>
  <si>
    <t>170х170</t>
  </si>
  <si>
    <t>10Г2</t>
  </si>
  <si>
    <t>1,34; 1,35 м</t>
  </si>
  <si>
    <t>5Х</t>
  </si>
  <si>
    <t>240х260</t>
  </si>
  <si>
    <t>32ХФ</t>
  </si>
  <si>
    <t>240х300</t>
  </si>
  <si>
    <t>3,23 м (1шт)</t>
  </si>
  <si>
    <t>9ХФ</t>
  </si>
  <si>
    <t>135х330</t>
  </si>
  <si>
    <t>2,23 м (1шт)</t>
  </si>
  <si>
    <t>чугун</t>
  </si>
  <si>
    <t>0,50 м (1шт)</t>
  </si>
  <si>
    <t>ОТ 4-1</t>
  </si>
  <si>
    <t>Проволока</t>
  </si>
  <si>
    <t>ВТ 1-0</t>
  </si>
  <si>
    <t>ЛИСТ</t>
  </si>
  <si>
    <t>Лист</t>
  </si>
  <si>
    <t>1500х1600</t>
  </si>
  <si>
    <t>1610х5510</t>
  </si>
  <si>
    <t>2510х6440</t>
  </si>
  <si>
    <t xml:space="preserve">   08кп</t>
  </si>
  <si>
    <t>800х1500</t>
  </si>
  <si>
    <t>ТРУБА</t>
  </si>
  <si>
    <t>15Х5М</t>
  </si>
  <si>
    <t>Труба</t>
  </si>
  <si>
    <t>101,6х10</t>
  </si>
  <si>
    <t>12,00 м</t>
  </si>
  <si>
    <t>25х2,5</t>
  </si>
  <si>
    <t>КОЛЬЦО</t>
  </si>
  <si>
    <t>260х80</t>
  </si>
  <si>
    <t>0,21 м (2 шт)</t>
  </si>
  <si>
    <t xml:space="preserve">   ст.30</t>
  </si>
  <si>
    <t>800х230</t>
  </si>
  <si>
    <t>0,27 м (1 шт)</t>
  </si>
  <si>
    <t>800х240</t>
  </si>
  <si>
    <t>1520х1320</t>
  </si>
  <si>
    <t>0,20 м (1 шт)</t>
  </si>
  <si>
    <t>1550х1420</t>
  </si>
  <si>
    <t>0,24 м (1 шт)</t>
  </si>
  <si>
    <t>1770х1240</t>
  </si>
  <si>
    <t>0,41 м (1 шт)</t>
  </si>
  <si>
    <t>1780х1270</t>
  </si>
  <si>
    <t>0,40 м (1 шт)</t>
  </si>
  <si>
    <t>680х580</t>
  </si>
  <si>
    <t>0,18 м (1 шт)</t>
  </si>
  <si>
    <t>790х190</t>
  </si>
  <si>
    <t>1040х850</t>
  </si>
  <si>
    <t>0,23 м (1 шт)</t>
  </si>
  <si>
    <t>1040х860</t>
  </si>
  <si>
    <t>1370х1110</t>
  </si>
  <si>
    <t>620х470</t>
  </si>
  <si>
    <t>620х380</t>
  </si>
  <si>
    <t>850х640</t>
  </si>
  <si>
    <t>0,26 м (1 шт)</t>
  </si>
  <si>
    <t>20ХН3А</t>
  </si>
  <si>
    <t>460х180</t>
  </si>
  <si>
    <t>470х160</t>
  </si>
  <si>
    <t>0,19 м (1 шт)</t>
  </si>
  <si>
    <t xml:space="preserve">   35Г</t>
  </si>
  <si>
    <t>1550х1250</t>
  </si>
  <si>
    <t>0,15 м (1 шт)</t>
  </si>
  <si>
    <t>1560х1260</t>
  </si>
  <si>
    <t>1570х1260</t>
  </si>
  <si>
    <t>1770х1550</t>
  </si>
  <si>
    <t>1780х1560</t>
  </si>
  <si>
    <t>1790х1570</t>
  </si>
  <si>
    <t xml:space="preserve">   50ХГ</t>
  </si>
  <si>
    <t>490х330</t>
  </si>
  <si>
    <t>0,17 м (2 шт)</t>
  </si>
  <si>
    <t>850х600</t>
  </si>
  <si>
    <t>880х600</t>
  </si>
  <si>
    <t xml:space="preserve">   30ХГСА</t>
  </si>
  <si>
    <t>Dн.550хDвн.410</t>
  </si>
  <si>
    <t>2,80 м (1 шт)</t>
  </si>
  <si>
    <t>2020/2230х170/1680</t>
  </si>
  <si>
    <t>500х76</t>
  </si>
  <si>
    <t>0,33 м (2 шт)</t>
  </si>
  <si>
    <t>КОЛЕСО</t>
  </si>
  <si>
    <t>Колесо</t>
  </si>
  <si>
    <t>570х80х140</t>
  </si>
  <si>
    <t>780х150х130х150</t>
  </si>
  <si>
    <t>830х120х160</t>
  </si>
  <si>
    <t>910х100х160</t>
  </si>
  <si>
    <t>4 шт.</t>
  </si>
  <si>
    <t>810х100х380</t>
  </si>
  <si>
    <t>910х105х80х230</t>
  </si>
  <si>
    <t>Екатеринбург склад 1</t>
  </si>
  <si>
    <t>Екатеринбург склад 2</t>
  </si>
  <si>
    <t>Толщина</t>
  </si>
  <si>
    <t>С т а л ь</t>
  </si>
  <si>
    <t>Р а с к р о й</t>
  </si>
  <si>
    <t>В е с</t>
  </si>
  <si>
    <t>08ПС</t>
  </si>
  <si>
    <t>1,25Х2,5</t>
  </si>
  <si>
    <t>08кп</t>
  </si>
  <si>
    <t>1,0х2,0</t>
  </si>
  <si>
    <t>1,5 х/к</t>
  </si>
  <si>
    <t>1,25х2,5</t>
  </si>
  <si>
    <t xml:space="preserve"> 1,5короб х/к</t>
  </si>
  <si>
    <t>1,27х2,5</t>
  </si>
  <si>
    <t>1,03х2,54</t>
  </si>
  <si>
    <t>1,0х2,5</t>
  </si>
  <si>
    <t>5рыж???</t>
  </si>
  <si>
    <t>1,5х2,0</t>
  </si>
  <si>
    <t>5?</t>
  </si>
  <si>
    <t>1,5х6,25</t>
  </si>
  <si>
    <t>1,01х2,54(4);1,04х2,54</t>
  </si>
  <si>
    <t>1,5х6,0(4);1,8х4,5(2);1,6х5,05</t>
  </si>
  <si>
    <t>1,25х5,0(5,36тн);1,5х6,0(2шт);1,4х3,7(1,45 тн)</t>
  </si>
  <si>
    <t>1,25х3,0</t>
  </si>
  <si>
    <t>1,5х2,6</t>
  </si>
  <si>
    <t>1,5х6,0(2)</t>
  </si>
  <si>
    <t>1,5х6,0(4);2,01х7,8х8,7;2,1х8,45(4)</t>
  </si>
  <si>
    <t>1,2х5,5</t>
  </si>
  <si>
    <t>ст.О( ст.3)</t>
  </si>
  <si>
    <t>1,8х3,5-4,6(6,5)</t>
  </si>
  <si>
    <t>1,78х3,2-4,2(7,34);1,64х4,1-4,9(7,59)</t>
  </si>
  <si>
    <t>1,5х3,1-4,4(4,3); 1,79х3,4-5,0(9,350);1,8х3,5-4,6(6,5)</t>
  </si>
  <si>
    <t>1,35х5,6-7,0(8,39);1,4х3,5-6,0(18,25)</t>
  </si>
  <si>
    <t>1,5х5,0-6,6(26,00); 1,65х4,4-7,0(44,91)</t>
  </si>
  <si>
    <t>1,7х5,1-6,0(6,64);1,8х6,0-6,7(2,8);</t>
  </si>
  <si>
    <t>1,95х4,0-7,5(38,19);2,0х3,35-4,8(5,32);</t>
  </si>
  <si>
    <t xml:space="preserve"> 2,1х4,9-6,3(8,02);2,25х3,7-6,7(29,3)</t>
  </si>
  <si>
    <t>09г2с+10Х17Н13М2Т</t>
  </si>
  <si>
    <t>1,52х6,52х6,42х(3,04х4,17)</t>
  </si>
  <si>
    <t>2,02х4,0(4);1,9х4,7(2);2,02х3,5;2,02х4,7</t>
  </si>
  <si>
    <t>10рыж</t>
  </si>
  <si>
    <t>1,64х4,23(2)</t>
  </si>
  <si>
    <t>1,8х4,5(4);2,0х4,05х4,5</t>
  </si>
  <si>
    <t>10?</t>
  </si>
  <si>
    <t>1,39х8,25(0,90)???</t>
  </si>
  <si>
    <t>2,23х6,55</t>
  </si>
  <si>
    <t>1,5х3,95(1)х4,1</t>
  </si>
  <si>
    <t>1,5х6,05</t>
  </si>
  <si>
    <t>2,4х7,02</t>
  </si>
  <si>
    <t>2,25х9,68;1,75х2,0(2 шт)</t>
  </si>
  <si>
    <t>биметалл</t>
  </si>
  <si>
    <t>1,3х4,7</t>
  </si>
  <si>
    <t>2,0х5,83</t>
  </si>
  <si>
    <t>2,0х6,0(1)</t>
  </si>
  <si>
    <t>1,98х5,9(1,25тн) ;1,98х5,92(1,28)</t>
  </si>
  <si>
    <t>1,5х4,85</t>
  </si>
  <si>
    <t>1,26х3,02</t>
  </si>
  <si>
    <t>2,0х5,54</t>
  </si>
  <si>
    <t>1,7х6,0</t>
  </si>
  <si>
    <t>1,5х5,55</t>
  </si>
  <si>
    <t>1,6х6,3</t>
  </si>
  <si>
    <t>1,5х6,0</t>
  </si>
  <si>
    <t>1,26х2,51</t>
  </si>
  <si>
    <t>0,3х1,11(0,05);0,52х1,11(0,09)</t>
  </si>
  <si>
    <t>1,8х5,19</t>
  </si>
  <si>
    <t>1,5х6,0(4шт);2,15х6,8(2,400)</t>
  </si>
  <si>
    <t>1,5х6,05(4)</t>
  </si>
  <si>
    <t>1,5х6,05(2)</t>
  </si>
  <si>
    <t>60С2А</t>
  </si>
  <si>
    <t>1,5х2,5-3,2</t>
  </si>
  <si>
    <t>х.з.</t>
  </si>
  <si>
    <t>0,75х1,65(0,19)</t>
  </si>
  <si>
    <t>30Х2М</t>
  </si>
  <si>
    <t>2,05х5,2-8,0</t>
  </si>
  <si>
    <t>12ХН2М</t>
  </si>
  <si>
    <t>1,52х3,55;1,51х2,48</t>
  </si>
  <si>
    <t>1,98х5,9(2)</t>
  </si>
  <si>
    <t>1,6х5,0(1,500)</t>
  </si>
  <si>
    <t>0,39х1,85</t>
  </si>
  <si>
    <t>20К</t>
  </si>
  <si>
    <t>1,8х9,3(8шт)</t>
  </si>
  <si>
    <t>1,7х4,8(1,500)</t>
  </si>
  <si>
    <t>1,6х6,6</t>
  </si>
  <si>
    <t>09Г2С+12Х18Н10Т</t>
  </si>
  <si>
    <t>1,55х5,0(биметалл)</t>
  </si>
  <si>
    <t>1,35х6,4;1,55х5,85</t>
  </si>
  <si>
    <t>1,9х3,5(14 шт) вес 1 шт 1,60 тн</t>
  </si>
  <si>
    <t>1,55х5,4(2)</t>
  </si>
  <si>
    <t>1,1х1,7;1,4х1,6</t>
  </si>
  <si>
    <t>1,7х2,2х1,2</t>
  </si>
  <si>
    <t>2,25х2,99  (биметалл)</t>
  </si>
  <si>
    <t>1,6х2,85</t>
  </si>
  <si>
    <t xml:space="preserve">1,26х4,74х4,76(2)х4,8х4,78х4,75 </t>
  </si>
  <si>
    <t>1,3х2,0(0,77);1,3х2,17(0,92);1,0х1,1</t>
  </si>
  <si>
    <t>1,48х5,55</t>
  </si>
  <si>
    <t>1,65х4,7</t>
  </si>
  <si>
    <t>1,6х4,25х3,0(2)х3,95х2,95;1,55х4,4(3 шт)х3,9;1,6х3,95(2 шт)</t>
  </si>
  <si>
    <t>1,6х4,05(2);1,55х4,0(3)</t>
  </si>
  <si>
    <t>3СП</t>
  </si>
  <si>
    <t>2,05х7,10</t>
  </si>
  <si>
    <t>2,06х6,05</t>
  </si>
  <si>
    <t>2,06х5,40</t>
  </si>
  <si>
    <t>1,55х2,5;1,55х1,95(1,25)х1,85</t>
  </si>
  <si>
    <t>1,6х3,25(3)</t>
  </si>
  <si>
    <t>2,15х5,45(4 шт)х6,1х5,55;2,0х5,4(4,415);2,2х6,15(5,33);2,25х5,35;1,5х6,03(3,57)</t>
  </si>
  <si>
    <t>38Х2Н2МА</t>
  </si>
  <si>
    <t>2,2х7,1</t>
  </si>
  <si>
    <t>0,4х0,93</t>
  </si>
  <si>
    <t>1,55х4,75</t>
  </si>
  <si>
    <t>0,18х1,2</t>
  </si>
  <si>
    <t>1,5х1,6(3);1,55х1,6</t>
  </si>
  <si>
    <t>1,55х1,75(1,36);1,6х1,6(2)х1,65(2)</t>
  </si>
  <si>
    <t>1,54х8,55</t>
  </si>
  <si>
    <t>1,6х1,8(1,62);1,55х1,8(1,62);1,5х1,8;1,55х1,8(2шт);1,55х1,80(1,68)</t>
  </si>
  <si>
    <t>1,47х2,52</t>
  </si>
  <si>
    <t>75волна</t>
  </si>
  <si>
    <t>1,55х4,1(3)по ту</t>
  </si>
  <si>
    <t>3Х2МНФ</t>
  </si>
  <si>
    <t>0,33х1,3</t>
  </si>
  <si>
    <t>34Х2Н2МФА</t>
  </si>
  <si>
    <t>0,33х1,32(5)</t>
  </si>
  <si>
    <t>35-40(0,38)</t>
  </si>
  <si>
    <t>1,64х6,2</t>
  </si>
  <si>
    <t>1,6х1,6(2);1,3х1,55(2)</t>
  </si>
  <si>
    <t>2,1х3,5</t>
  </si>
  <si>
    <t>1,57х4,5</t>
  </si>
  <si>
    <t>80 с дыр</t>
  </si>
  <si>
    <t>30Х2Н2МА</t>
  </si>
  <si>
    <t>1,36х2,35</t>
  </si>
  <si>
    <t>30Х3НМ3Ф</t>
  </si>
  <si>
    <t>0,4х1,18</t>
  </si>
  <si>
    <t>1,68х2,48(2,985)рубильник</t>
  </si>
  <si>
    <t>1,4х1,55(1,61х3шт)</t>
  </si>
  <si>
    <t>0,25х2,0</t>
  </si>
  <si>
    <t>2,08х5,06</t>
  </si>
  <si>
    <t>0,44х1,14(0,4)</t>
  </si>
  <si>
    <t>1,3х1,55(1,59);1,4х1,55(1,79)</t>
  </si>
  <si>
    <t>1,3х1,65(3)</t>
  </si>
  <si>
    <t>1,67х6,6</t>
  </si>
  <si>
    <t>230х2320</t>
  </si>
  <si>
    <t>1,25х1,35(5 шт)вес 1,62</t>
  </si>
  <si>
    <t>1,7х5,0(8,25тн), 2,0х4,0(7,8тн)</t>
  </si>
  <si>
    <t>0,5х0,78</t>
  </si>
  <si>
    <t>130(140)</t>
  </si>
  <si>
    <t>1,6х1,95</t>
  </si>
  <si>
    <t>1,25х1,25(4)</t>
  </si>
  <si>
    <t>1,2х1,25(1,66)х1,35(2);1,18х1,35;1,15х1,7(4)</t>
  </si>
  <si>
    <t>1,15х1,7</t>
  </si>
  <si>
    <t>08КП</t>
  </si>
  <si>
    <t>700х2100</t>
  </si>
  <si>
    <t xml:space="preserve"> 1,15х1,6(6 шт)</t>
  </si>
  <si>
    <t>1,0х1,4(1,62);1,2х1,25( 4 шт вес 6,68);1,15х1,7(5 шт вес 8,65);1,15х1,25(4);1,2х1,2(2)</t>
  </si>
  <si>
    <t>280х1050</t>
  </si>
  <si>
    <t>0,95х1,3(1,45);1,25х1,65(2,43);1,87х2,44(5,550)</t>
  </si>
  <si>
    <t>350х1130</t>
  </si>
  <si>
    <t>0,98х2,05</t>
  </si>
  <si>
    <t>1000х1500</t>
  </si>
  <si>
    <t>700х900</t>
  </si>
  <si>
    <t>590х1570</t>
  </si>
  <si>
    <t>40Х2Н2МА</t>
  </si>
  <si>
    <t>370*1350</t>
  </si>
  <si>
    <t>770х1110</t>
  </si>
  <si>
    <t>30ХН2МА</t>
  </si>
  <si>
    <t>830х970</t>
  </si>
  <si>
    <t>430х2750(2,27)</t>
  </si>
  <si>
    <t>430х2000</t>
  </si>
  <si>
    <t>710х900</t>
  </si>
  <si>
    <t>650х1130</t>
  </si>
  <si>
    <t>0,76х0,8</t>
  </si>
  <si>
    <t>530х700(2)уточнить марку</t>
  </si>
  <si>
    <t>300шлиф?</t>
  </si>
  <si>
    <t>0,7х1,13(1,865)</t>
  </si>
  <si>
    <t>720х1140</t>
  </si>
  <si>
    <t>390?</t>
  </si>
  <si>
    <t>3сп</t>
  </si>
  <si>
    <t>550х2450</t>
  </si>
  <si>
    <t>1,5х6 1,5х0,3</t>
  </si>
  <si>
    <t>1,5х6  2х6</t>
  </si>
  <si>
    <t>1,5х6</t>
  </si>
  <si>
    <t xml:space="preserve">      ст.О( ст.3)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</si>
</sst>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  <numFmt numFmtId="187" formatCode="[$-419]mmmm;@"/>
    <numFmt numFmtId="188" formatCode="[$-419]dd\ mmm\ yy;@"/>
    <numFmt numFmtId="189" formatCode="dd/mm/yy;@"/>
    <numFmt numFmtId="190" formatCode="#,##0_р_.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11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color indexed="57"/>
      <name val="Arial"/>
      <family val="2"/>
    </font>
    <font>
      <i/>
      <sz val="8"/>
      <color indexed="10"/>
      <name val="Arial"/>
      <family val="2"/>
    </font>
    <font>
      <i/>
      <sz val="8"/>
      <color indexed="12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3" xfId="0" applyFont="1" applyBorder="1" applyAlignment="1">
      <alignment horizontal="right"/>
    </xf>
    <xf numFmtId="0" fontId="11" fillId="0" borderId="0" xfId="0" applyFont="1" applyAlignment="1">
      <alignment/>
    </xf>
    <xf numFmtId="0" fontId="0" fillId="21" borderId="14" xfId="0" applyFill="1" applyBorder="1" applyAlignment="1">
      <alignment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5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0" fillId="14" borderId="0" xfId="0" applyFill="1" applyAlignment="1">
      <alignment/>
    </xf>
    <xf numFmtId="0" fontId="6" fillId="14" borderId="16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/>
    </xf>
    <xf numFmtId="0" fontId="8" fillId="14" borderId="0" xfId="0" applyFont="1" applyFill="1" applyAlignment="1">
      <alignment/>
    </xf>
    <xf numFmtId="0" fontId="6" fillId="14" borderId="18" xfId="0" applyFont="1" applyFill="1" applyBorder="1" applyAlignment="1">
      <alignment horizontal="center"/>
    </xf>
    <xf numFmtId="0" fontId="6" fillId="14" borderId="19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0" fillId="24" borderId="12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0" fillId="14" borderId="17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14" borderId="20" xfId="0" applyFill="1" applyBorder="1" applyAlignment="1">
      <alignment/>
    </xf>
    <xf numFmtId="0" fontId="9" fillId="14" borderId="20" xfId="0" applyFont="1" applyFill="1" applyBorder="1" applyAlignment="1">
      <alignment horizontal="center"/>
    </xf>
    <xf numFmtId="0" fontId="9" fillId="14" borderId="20" xfId="0" applyFont="1" applyFill="1" applyBorder="1" applyAlignment="1">
      <alignment/>
    </xf>
    <xf numFmtId="0" fontId="10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49" fontId="11" fillId="25" borderId="22" xfId="0" applyNumberFormat="1" applyFont="1" applyFill="1" applyBorder="1" applyAlignment="1">
      <alignment horizontal="center"/>
    </xf>
    <xf numFmtId="0" fontId="11" fillId="25" borderId="21" xfId="0" applyFont="1" applyFill="1" applyBorder="1" applyAlignment="1">
      <alignment horizontal="center"/>
    </xf>
    <xf numFmtId="0" fontId="12" fillId="25" borderId="21" xfId="0" applyFont="1" applyFill="1" applyBorder="1" applyAlignment="1">
      <alignment horizontal="center"/>
    </xf>
    <xf numFmtId="2" fontId="11" fillId="25" borderId="26" xfId="0" applyNumberFormat="1" applyFont="1" applyFill="1" applyBorder="1" applyAlignment="1">
      <alignment horizontal="center"/>
    </xf>
    <xf numFmtId="2" fontId="11" fillId="25" borderId="25" xfId="0" applyNumberFormat="1" applyFont="1" applyFill="1" applyBorder="1" applyAlignment="1">
      <alignment horizontal="center"/>
    </xf>
    <xf numFmtId="2" fontId="11" fillId="25" borderId="21" xfId="0" applyNumberFormat="1" applyFont="1" applyFill="1" applyBorder="1" applyAlignment="1">
      <alignment horizontal="center"/>
    </xf>
    <xf numFmtId="0" fontId="11" fillId="25" borderId="25" xfId="0" applyFont="1" applyFill="1" applyBorder="1" applyAlignment="1">
      <alignment horizontal="center"/>
    </xf>
    <xf numFmtId="0" fontId="11" fillId="25" borderId="25" xfId="0" applyNumberFormat="1" applyFont="1" applyFill="1" applyBorder="1" applyAlignment="1">
      <alignment horizontal="center"/>
    </xf>
    <xf numFmtId="0" fontId="11" fillId="25" borderId="22" xfId="0" applyNumberFormat="1" applyFont="1" applyFill="1" applyBorder="1" applyAlignment="1">
      <alignment horizontal="center"/>
    </xf>
    <xf numFmtId="49" fontId="11" fillId="25" borderId="27" xfId="0" applyNumberFormat="1" applyFont="1" applyFill="1" applyBorder="1" applyAlignment="1">
      <alignment horizontal="center"/>
    </xf>
    <xf numFmtId="0" fontId="11" fillId="25" borderId="26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27" xfId="0" applyFont="1" applyFill="1" applyBorder="1" applyAlignment="1">
      <alignment horizontal="center"/>
    </xf>
    <xf numFmtId="0" fontId="11" fillId="25" borderId="28" xfId="0" applyFont="1" applyFill="1" applyBorder="1" applyAlignment="1">
      <alignment horizontal="center"/>
    </xf>
    <xf numFmtId="2" fontId="11" fillId="25" borderId="29" xfId="0" applyNumberFormat="1" applyFont="1" applyFill="1" applyBorder="1" applyAlignment="1">
      <alignment horizontal="center"/>
    </xf>
    <xf numFmtId="0" fontId="11" fillId="25" borderId="2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4" fillId="14" borderId="31" xfId="0" applyFont="1" applyFill="1" applyBorder="1" applyAlignment="1">
      <alignment/>
    </xf>
    <xf numFmtId="0" fontId="4" fillId="14" borderId="32" xfId="0" applyFont="1" applyFill="1" applyBorder="1" applyAlignment="1">
      <alignment/>
    </xf>
    <xf numFmtId="0" fontId="10" fillId="24" borderId="33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/>
    </xf>
    <xf numFmtId="14" fontId="37" fillId="0" borderId="0" xfId="0" applyNumberFormat="1" applyFont="1" applyFill="1" applyAlignment="1">
      <alignment/>
    </xf>
    <xf numFmtId="184" fontId="37" fillId="0" borderId="25" xfId="0" applyNumberFormat="1" applyFont="1" applyFill="1" applyBorder="1" applyAlignment="1">
      <alignment horizontal="center" vertical="top" wrapText="1"/>
    </xf>
    <xf numFmtId="184" fontId="37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14" fontId="38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1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4" fontId="38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40" fillId="0" borderId="0" xfId="0" applyFont="1" applyFill="1" applyAlignment="1">
      <alignment/>
    </xf>
    <xf numFmtId="0" fontId="6" fillId="24" borderId="22" xfId="0" applyFont="1" applyFill="1" applyBorder="1" applyAlignment="1">
      <alignment horizontal="center"/>
    </xf>
    <xf numFmtId="14" fontId="40" fillId="0" borderId="0" xfId="0" applyNumberFormat="1" applyFont="1" applyFill="1" applyAlignment="1">
      <alignment/>
    </xf>
    <xf numFmtId="0" fontId="11" fillId="0" borderId="21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25" borderId="26" xfId="0" applyNumberFormat="1" applyFont="1" applyFill="1" applyBorder="1" applyAlignment="1">
      <alignment horizontal="center" vertical="center"/>
    </xf>
    <xf numFmtId="184" fontId="11" fillId="0" borderId="2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top" wrapText="1"/>
    </xf>
    <xf numFmtId="184" fontId="11" fillId="0" borderId="20" xfId="0" applyNumberFormat="1" applyFont="1" applyFill="1" applyBorder="1" applyAlignment="1">
      <alignment horizontal="center" vertical="top" wrapText="1"/>
    </xf>
    <xf numFmtId="184" fontId="11" fillId="0" borderId="37" xfId="0" applyNumberFormat="1" applyFont="1" applyFill="1" applyBorder="1" applyAlignment="1">
      <alignment horizontal="center" vertical="top" wrapText="1"/>
    </xf>
    <xf numFmtId="184" fontId="11" fillId="0" borderId="22" xfId="0" applyNumberFormat="1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/>
    </xf>
    <xf numFmtId="184" fontId="11" fillId="0" borderId="20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84" fontId="11" fillId="0" borderId="21" xfId="0" applyNumberFormat="1" applyFont="1" applyFill="1" applyBorder="1" applyAlignment="1">
      <alignment horizontal="center"/>
    </xf>
    <xf numFmtId="184" fontId="11" fillId="0" borderId="30" xfId="0" applyNumberFormat="1" applyFont="1" applyFill="1" applyBorder="1" applyAlignment="1">
      <alignment horizontal="center" vertical="center"/>
    </xf>
    <xf numFmtId="184" fontId="11" fillId="0" borderId="37" xfId="0" applyNumberFormat="1" applyFont="1" applyFill="1" applyBorder="1" applyAlignment="1">
      <alignment horizontal="center"/>
    </xf>
    <xf numFmtId="184" fontId="11" fillId="0" borderId="22" xfId="0" applyNumberFormat="1" applyFont="1" applyFill="1" applyBorder="1" applyAlignment="1">
      <alignment horizontal="center"/>
    </xf>
    <xf numFmtId="184" fontId="41" fillId="0" borderId="21" xfId="0" applyNumberFormat="1" applyFont="1" applyFill="1" applyBorder="1" applyAlignment="1">
      <alignment horizontal="center"/>
    </xf>
    <xf numFmtId="184" fontId="41" fillId="0" borderId="37" xfId="0" applyNumberFormat="1" applyFont="1" applyFill="1" applyBorder="1" applyAlignment="1">
      <alignment horizontal="center"/>
    </xf>
    <xf numFmtId="184" fontId="43" fillId="0" borderId="30" xfId="0" applyNumberFormat="1" applyFont="1" applyFill="1" applyBorder="1" applyAlignment="1">
      <alignment horizontal="center" vertical="center"/>
    </xf>
    <xf numFmtId="184" fontId="42" fillId="0" borderId="22" xfId="0" applyNumberFormat="1" applyFont="1" applyFill="1" applyBorder="1" applyAlignment="1">
      <alignment horizontal="center"/>
    </xf>
    <xf numFmtId="184" fontId="42" fillId="0" borderId="21" xfId="0" applyNumberFormat="1" applyFont="1" applyFill="1" applyBorder="1" applyAlignment="1">
      <alignment horizontal="center"/>
    </xf>
    <xf numFmtId="184" fontId="42" fillId="0" borderId="37" xfId="0" applyNumberFormat="1" applyFont="1" applyFill="1" applyBorder="1" applyAlignment="1">
      <alignment horizontal="center"/>
    </xf>
    <xf numFmtId="184" fontId="43" fillId="0" borderId="30" xfId="0" applyNumberFormat="1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/>
    </xf>
    <xf numFmtId="184" fontId="11" fillId="0" borderId="3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 vertical="center"/>
    </xf>
    <xf numFmtId="184" fontId="11" fillId="0" borderId="38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185" fontId="11" fillId="0" borderId="22" xfId="0" applyNumberFormat="1" applyFont="1" applyFill="1" applyBorder="1" applyAlignment="1">
      <alignment horizontal="center"/>
    </xf>
    <xf numFmtId="184" fontId="11" fillId="0" borderId="39" xfId="0" applyNumberFormat="1" applyFont="1" applyFill="1" applyBorder="1" applyAlignment="1">
      <alignment horizontal="center"/>
    </xf>
    <xf numFmtId="0" fontId="12" fillId="25" borderId="26" xfId="0" applyFont="1" applyFill="1" applyBorder="1" applyAlignment="1">
      <alignment horizontal="center"/>
    </xf>
    <xf numFmtId="0" fontId="11" fillId="25" borderId="40" xfId="0" applyFont="1" applyFill="1" applyBorder="1" applyAlignment="1">
      <alignment horizontal="center"/>
    </xf>
    <xf numFmtId="0" fontId="12" fillId="25" borderId="41" xfId="0" applyFont="1" applyFill="1" applyBorder="1" applyAlignment="1">
      <alignment horizontal="center"/>
    </xf>
    <xf numFmtId="0" fontId="11" fillId="25" borderId="41" xfId="0" applyFont="1" applyFill="1" applyBorder="1" applyAlignment="1">
      <alignment horizontal="center"/>
    </xf>
    <xf numFmtId="0" fontId="45" fillId="25" borderId="21" xfId="0" applyFont="1" applyFill="1" applyBorder="1" applyAlignment="1">
      <alignment horizontal="center"/>
    </xf>
    <xf numFmtId="0" fontId="44" fillId="25" borderId="21" xfId="0" applyFont="1" applyFill="1" applyBorder="1" applyAlignment="1">
      <alignment horizontal="center"/>
    </xf>
    <xf numFmtId="0" fontId="44" fillId="25" borderId="26" xfId="0" applyNumberFormat="1" applyFont="1" applyFill="1" applyBorder="1" applyAlignment="1">
      <alignment horizontal="center"/>
    </xf>
    <xf numFmtId="0" fontId="12" fillId="25" borderId="29" xfId="0" applyFont="1" applyFill="1" applyBorder="1" applyAlignment="1">
      <alignment horizontal="center"/>
    </xf>
    <xf numFmtId="0" fontId="44" fillId="25" borderId="27" xfId="0" applyFont="1" applyFill="1" applyBorder="1" applyAlignment="1">
      <alignment horizontal="center"/>
    </xf>
    <xf numFmtId="0" fontId="11" fillId="25" borderId="22" xfId="0" applyFont="1" applyFill="1" applyBorder="1" applyAlignment="1" applyProtection="1">
      <alignment horizontal="center"/>
      <protection hidden="1"/>
    </xf>
    <xf numFmtId="0" fontId="11" fillId="25" borderId="30" xfId="0" applyFont="1" applyFill="1" applyBorder="1" applyAlignment="1">
      <alignment horizontal="center"/>
    </xf>
    <xf numFmtId="0" fontId="11" fillId="25" borderId="35" xfId="0" applyFont="1" applyFill="1" applyBorder="1" applyAlignment="1">
      <alignment horizontal="center"/>
    </xf>
    <xf numFmtId="0" fontId="11" fillId="25" borderId="24" xfId="0" applyFont="1" applyFill="1" applyBorder="1" applyAlignment="1">
      <alignment horizontal="center"/>
    </xf>
    <xf numFmtId="3" fontId="11" fillId="25" borderId="22" xfId="0" applyNumberFormat="1" applyFont="1" applyFill="1" applyBorder="1" applyAlignment="1">
      <alignment horizontal="center"/>
    </xf>
    <xf numFmtId="0" fontId="11" fillId="25" borderId="20" xfId="0" applyFont="1" applyFill="1" applyBorder="1" applyAlignment="1">
      <alignment horizontal="center"/>
    </xf>
    <xf numFmtId="0" fontId="11" fillId="25" borderId="42" xfId="0" applyFont="1" applyFill="1" applyBorder="1" applyAlignment="1">
      <alignment horizontal="center"/>
    </xf>
    <xf numFmtId="0" fontId="11" fillId="25" borderId="43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 vertical="center"/>
    </xf>
    <xf numFmtId="49" fontId="11" fillId="24" borderId="2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42" fillId="0" borderId="3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center" vertical="top"/>
    </xf>
    <xf numFmtId="0" fontId="37" fillId="0" borderId="21" xfId="0" applyFont="1" applyFill="1" applyBorder="1" applyAlignment="1">
      <alignment horizontal="center" vertical="top" wrapText="1"/>
    </xf>
    <xf numFmtId="0" fontId="37" fillId="0" borderId="30" xfId="0" applyFont="1" applyFill="1" applyBorder="1" applyAlignment="1">
      <alignment horizontal="center" vertical="top" wrapText="1"/>
    </xf>
    <xf numFmtId="184" fontId="37" fillId="0" borderId="44" xfId="0" applyNumberFormat="1" applyFont="1" applyFill="1" applyBorder="1" applyAlignment="1">
      <alignment horizontal="center" vertical="top" wrapText="1"/>
    </xf>
    <xf numFmtId="184" fontId="37" fillId="0" borderId="38" xfId="0" applyNumberFormat="1" applyFont="1" applyFill="1" applyBorder="1" applyAlignment="1">
      <alignment horizontal="center" vertical="top" wrapText="1"/>
    </xf>
    <xf numFmtId="184" fontId="37" fillId="0" borderId="24" xfId="0" applyNumberFormat="1" applyFont="1" applyFill="1" applyBorder="1" applyAlignment="1">
      <alignment horizontal="center" vertical="top" wrapText="1"/>
    </xf>
    <xf numFmtId="184" fontId="37" fillId="0" borderId="45" xfId="0" applyNumberFormat="1" applyFont="1" applyFill="1" applyBorder="1" applyAlignment="1">
      <alignment horizontal="center" vertical="top" wrapText="1"/>
    </xf>
    <xf numFmtId="0" fontId="37" fillId="0" borderId="25" xfId="0" applyFont="1" applyFill="1" applyBorder="1" applyAlignment="1">
      <alignment horizontal="center" vertical="top" wrapText="1"/>
    </xf>
    <xf numFmtId="0" fontId="37" fillId="0" borderId="46" xfId="0" applyFont="1" applyFill="1" applyBorder="1" applyAlignment="1">
      <alignment horizontal="center" vertical="top" wrapText="1"/>
    </xf>
    <xf numFmtId="0" fontId="37" fillId="0" borderId="26" xfId="0" applyFont="1" applyFill="1" applyBorder="1" applyAlignment="1">
      <alignment horizontal="center" vertical="top" wrapText="1"/>
    </xf>
    <xf numFmtId="0" fontId="11" fillId="25" borderId="30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0" fontId="4" fillId="14" borderId="3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5</xdr:col>
      <xdr:colOff>2505075</xdr:colOff>
      <xdr:row>2</xdr:row>
      <xdr:rowOff>57150</xdr:rowOff>
    </xdr:to>
    <xdr:sp>
      <xdr:nvSpPr>
        <xdr:cNvPr id="1" name="WordArt 308"/>
        <xdr:cNvSpPr>
          <a:spLocks/>
        </xdr:cNvSpPr>
      </xdr:nvSpPr>
      <xdr:spPr>
        <a:xfrm>
          <a:off x="76200" y="28575"/>
          <a:ext cx="5295900" cy="6000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>
              <a:rot lat="20999998" lon="1800000" rev="0"/>
            </a:camera>
            <a:lightRig rig="legacyHarsh3" dir="t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Times New Roman"/>
              <a:cs typeface="Times New Roman"/>
            </a:rPr>
            <a:t>ООО ПКФ "УралСпецСталь"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5</xdr:col>
      <xdr:colOff>3600450</xdr:colOff>
      <xdr:row>2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66675" y="0"/>
          <a:ext cx="6610350" cy="514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>
              <a:rot lat="20999998" lon="1800000" rev="0"/>
            </a:camera>
            <a:lightRig rig="legacyHarsh3" dir="t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Times New Roman"/>
              <a:cs typeface="Times New Roman"/>
            </a:rPr>
            <a:t>ООО ПКФ "УралСпецСталь"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28575</xdr:rowOff>
    </xdr:from>
    <xdr:to>
      <xdr:col>6</xdr:col>
      <xdr:colOff>571500</xdr:colOff>
      <xdr:row>1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209550" y="28575"/>
          <a:ext cx="52578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>
              <a:rot lat="20999998" lon="1800000" rev="0"/>
            </a:camera>
            <a:lightRig rig="legacyHarsh3" dir="t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Times New Roman"/>
              <a:cs typeface="Times New Roman"/>
            </a:rPr>
            <a:t>ООО ПКФ "УралСпецСталь"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>
          <a:clrChange>
            <a:clrFrom>
              <a:srgbClr val="D6E2EE"/>
            </a:clrFrom>
            <a:clrTo>
              <a:srgbClr val="D6E2EE">
                <a:alpha val="0"/>
              </a:srgbClr>
            </a:clrTo>
          </a:clrChange>
        </a:blip>
        <a:srcRect l="27406" r="35568" b="11201"/>
        <a:stretch>
          <a:fillRect/>
        </a:stretch>
      </xdr:blipFill>
      <xdr:spPr>
        <a:xfrm>
          <a:off x="95250" y="0"/>
          <a:ext cx="28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6</xdr:col>
      <xdr:colOff>19050</xdr:colOff>
      <xdr:row>1</xdr:row>
      <xdr:rowOff>285750</xdr:rowOff>
    </xdr:to>
    <xdr:sp>
      <xdr:nvSpPr>
        <xdr:cNvPr id="5" name="WordArt 30"/>
        <xdr:cNvSpPr>
          <a:spLocks/>
        </xdr:cNvSpPr>
      </xdr:nvSpPr>
      <xdr:spPr>
        <a:xfrm>
          <a:off x="419100" y="0"/>
          <a:ext cx="4629150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>
              <a:rot lat="20999998" lon="1800000" rev="0"/>
            </a:camera>
            <a:lightRig rig="legacyHarsh3" dir="t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Times New Roman"/>
              <a:cs typeface="Times New Roman"/>
            </a:rPr>
            <a:t>ООО ПКФ "УралСпецСталь"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>
          <a:clrChange>
            <a:clrFrom>
              <a:srgbClr val="D6E2EE"/>
            </a:clrFrom>
            <a:clrTo>
              <a:srgbClr val="D6E2EE">
                <a:alpha val="0"/>
              </a:srgbClr>
            </a:clrTo>
          </a:clrChange>
        </a:blip>
        <a:srcRect l="27406" r="35568" b="11201"/>
        <a:stretch>
          <a:fillRect/>
        </a:stretch>
      </xdr:blipFill>
      <xdr:spPr>
        <a:xfrm>
          <a:off x="95250" y="0"/>
          <a:ext cx="28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6</xdr:col>
      <xdr:colOff>200025</xdr:colOff>
      <xdr:row>1</xdr:row>
      <xdr:rowOff>266700</xdr:rowOff>
    </xdr:to>
    <xdr:sp>
      <xdr:nvSpPr>
        <xdr:cNvPr id="5" name="WordArt 308"/>
        <xdr:cNvSpPr>
          <a:spLocks/>
        </xdr:cNvSpPr>
      </xdr:nvSpPr>
      <xdr:spPr>
        <a:xfrm>
          <a:off x="419100" y="0"/>
          <a:ext cx="4733925" cy="400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>
              <a:rot lat="20999998" lon="1800000" rev="0"/>
            </a:camera>
            <a:lightRig rig="legacyHarsh3" dir="t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Times New Roman"/>
              <a:cs typeface="Times New Roman"/>
            </a:rPr>
            <a:t>ООО ПКФ "УралСпецСталь"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0"/>
  <sheetViews>
    <sheetView workbookViewId="0" topLeftCell="A1">
      <selection activeCell="E7" sqref="E7"/>
    </sheetView>
  </sheetViews>
  <sheetFormatPr defaultColWidth="9.140625" defaultRowHeight="12.75"/>
  <cols>
    <col min="2" max="2" width="6.421875" style="0" customWidth="1"/>
    <col min="6" max="6" width="48.7109375" style="0" customWidth="1"/>
  </cols>
  <sheetData>
    <row r="1" spans="2:7" ht="22.5" customHeight="1">
      <c r="B1" s="11"/>
      <c r="C1" s="11"/>
      <c r="D1" s="156"/>
      <c r="E1" s="156"/>
      <c r="F1" s="156"/>
      <c r="G1" s="13"/>
    </row>
    <row r="2" spans="3:7" ht="22.5" customHeight="1">
      <c r="C2" s="10"/>
      <c r="D2" s="156"/>
      <c r="E2" s="156"/>
      <c r="F2" s="156"/>
      <c r="G2" s="13"/>
    </row>
    <row r="3" spans="1:7" ht="22.5" customHeight="1">
      <c r="A3" s="25"/>
      <c r="B3" s="25"/>
      <c r="C3" s="157" t="s">
        <v>334</v>
      </c>
      <c r="D3" s="157"/>
      <c r="E3" s="157"/>
      <c r="F3" s="157"/>
      <c r="G3" s="14"/>
    </row>
    <row r="4" spans="2:7" ht="22.5" customHeight="1">
      <c r="B4" s="157" t="s">
        <v>335</v>
      </c>
      <c r="C4" s="157"/>
      <c r="D4" s="157"/>
      <c r="E4" s="157"/>
      <c r="F4" s="157"/>
      <c r="G4" s="13"/>
    </row>
    <row r="5" spans="2:7" ht="22.5" customHeight="1" thickBot="1">
      <c r="B5" s="157"/>
      <c r="C5" s="157"/>
      <c r="D5" s="157"/>
      <c r="E5" s="157"/>
      <c r="F5" s="157"/>
      <c r="G5" s="13"/>
    </row>
    <row r="6" spans="1:11" s="80" customFormat="1" ht="12.75" customHeight="1">
      <c r="A6" s="167" t="s">
        <v>339</v>
      </c>
      <c r="B6" s="167" t="s">
        <v>340</v>
      </c>
      <c r="C6" s="167" t="s">
        <v>341</v>
      </c>
      <c r="D6" s="161" t="s">
        <v>1467</v>
      </c>
      <c r="E6" s="161"/>
      <c r="F6" s="161" t="s">
        <v>1466</v>
      </c>
      <c r="G6" s="162"/>
      <c r="H6" s="163" t="s">
        <v>342</v>
      </c>
      <c r="I6" s="165" t="s">
        <v>343</v>
      </c>
      <c r="K6" s="81"/>
    </row>
    <row r="7" spans="1:11" s="16" customFormat="1" ht="14.25" customHeight="1">
      <c r="A7" s="168"/>
      <c r="B7" s="168"/>
      <c r="C7" s="169"/>
      <c r="D7" s="79" t="s">
        <v>344</v>
      </c>
      <c r="E7" s="82" t="s">
        <v>345</v>
      </c>
      <c r="F7" s="79" t="s">
        <v>344</v>
      </c>
      <c r="G7" s="83" t="s">
        <v>345</v>
      </c>
      <c r="H7" s="164"/>
      <c r="I7" s="166"/>
      <c r="K7" s="84"/>
    </row>
    <row r="8" spans="1:11" s="16" customFormat="1" ht="13.5" customHeight="1">
      <c r="A8" s="110"/>
      <c r="B8" s="105"/>
      <c r="C8" s="111" t="s">
        <v>346</v>
      </c>
      <c r="D8" s="109"/>
      <c r="E8" s="106"/>
      <c r="F8" s="109"/>
      <c r="G8" s="112"/>
      <c r="H8" s="107"/>
      <c r="I8" s="108"/>
      <c r="K8" s="84"/>
    </row>
    <row r="9" spans="1:11" s="16" customFormat="1" ht="10.5" customHeight="1">
      <c r="A9" s="113" t="s">
        <v>347</v>
      </c>
      <c r="B9" s="103" t="s">
        <v>348</v>
      </c>
      <c r="C9" s="114" t="s">
        <v>349</v>
      </c>
      <c r="D9" s="115"/>
      <c r="E9" s="116">
        <v>1.9</v>
      </c>
      <c r="F9" s="115"/>
      <c r="G9" s="117"/>
      <c r="H9" s="118"/>
      <c r="I9" s="119"/>
      <c r="K9" s="84"/>
    </row>
    <row r="10" spans="1:11" s="16" customFormat="1" ht="10.5" customHeight="1">
      <c r="A10" s="113" t="s">
        <v>347</v>
      </c>
      <c r="B10" s="103" t="s">
        <v>348</v>
      </c>
      <c r="C10" s="114">
        <v>55</v>
      </c>
      <c r="D10" s="115" t="s">
        <v>350</v>
      </c>
      <c r="E10" s="116">
        <v>1.63</v>
      </c>
      <c r="F10" s="115"/>
      <c r="G10" s="117"/>
      <c r="H10" s="118"/>
      <c r="I10" s="119"/>
      <c r="K10" s="84"/>
    </row>
    <row r="11" spans="1:11" s="16" customFormat="1" ht="10.5" customHeight="1">
      <c r="A11" s="113" t="s">
        <v>347</v>
      </c>
      <c r="B11" s="103" t="s">
        <v>348</v>
      </c>
      <c r="C11" s="114">
        <v>60</v>
      </c>
      <c r="D11" s="115" t="s">
        <v>351</v>
      </c>
      <c r="E11" s="116">
        <f>0.238+0.344</f>
        <v>0.582</v>
      </c>
      <c r="F11" s="115"/>
      <c r="G11" s="117"/>
      <c r="H11" s="118"/>
      <c r="I11" s="119"/>
      <c r="K11" s="84"/>
    </row>
    <row r="12" spans="1:11" s="16" customFormat="1" ht="10.5" customHeight="1">
      <c r="A12" s="113" t="s">
        <v>347</v>
      </c>
      <c r="B12" s="103" t="s">
        <v>348</v>
      </c>
      <c r="C12" s="114" t="s">
        <v>352</v>
      </c>
      <c r="D12" s="115"/>
      <c r="E12" s="116">
        <v>0.2</v>
      </c>
      <c r="F12" s="115"/>
      <c r="G12" s="117"/>
      <c r="H12" s="118"/>
      <c r="I12" s="119"/>
      <c r="K12" s="84"/>
    </row>
    <row r="13" spans="1:11" s="16" customFormat="1" ht="10.5" customHeight="1">
      <c r="A13" s="113" t="s">
        <v>347</v>
      </c>
      <c r="B13" s="103" t="s">
        <v>348</v>
      </c>
      <c r="C13" s="114" t="s">
        <v>353</v>
      </c>
      <c r="D13" s="115"/>
      <c r="E13" s="116">
        <v>0.257</v>
      </c>
      <c r="F13" s="115"/>
      <c r="G13" s="117"/>
      <c r="H13" s="118"/>
      <c r="I13" s="119"/>
      <c r="K13" s="84"/>
    </row>
    <row r="14" spans="1:11" s="16" customFormat="1" ht="10.5" customHeight="1">
      <c r="A14" s="113" t="s">
        <v>347</v>
      </c>
      <c r="B14" s="103" t="s">
        <v>348</v>
      </c>
      <c r="C14" s="114" t="s">
        <v>354</v>
      </c>
      <c r="D14" s="115"/>
      <c r="E14" s="120">
        <v>1.06</v>
      </c>
      <c r="F14" s="115"/>
      <c r="G14" s="117"/>
      <c r="H14" s="118"/>
      <c r="I14" s="119"/>
      <c r="K14" s="84"/>
    </row>
    <row r="15" spans="1:11" s="16" customFormat="1" ht="10.5" customHeight="1">
      <c r="A15" s="113" t="s">
        <v>347</v>
      </c>
      <c r="B15" s="103" t="s">
        <v>348</v>
      </c>
      <c r="C15" s="114" t="s">
        <v>355</v>
      </c>
      <c r="D15" s="115"/>
      <c r="E15" s="116">
        <v>0.423</v>
      </c>
      <c r="F15" s="115"/>
      <c r="G15" s="117"/>
      <c r="H15" s="118"/>
      <c r="I15" s="119"/>
      <c r="K15" s="84"/>
    </row>
    <row r="16" spans="1:11" s="16" customFormat="1" ht="10.5" customHeight="1">
      <c r="A16" s="113" t="s">
        <v>347</v>
      </c>
      <c r="B16" s="103" t="s">
        <v>348</v>
      </c>
      <c r="C16" s="114" t="s">
        <v>356</v>
      </c>
      <c r="D16" s="115"/>
      <c r="E16" s="116">
        <v>1.55</v>
      </c>
      <c r="F16" s="115"/>
      <c r="G16" s="117"/>
      <c r="H16" s="118"/>
      <c r="I16" s="119"/>
      <c r="K16" s="84"/>
    </row>
    <row r="17" spans="1:11" s="16" customFormat="1" ht="10.5" customHeight="1">
      <c r="A17" s="113" t="s">
        <v>347</v>
      </c>
      <c r="B17" s="103" t="s">
        <v>348</v>
      </c>
      <c r="C17" s="114" t="s">
        <v>357</v>
      </c>
      <c r="D17" s="115" t="s">
        <v>358</v>
      </c>
      <c r="E17" s="120">
        <v>1</v>
      </c>
      <c r="F17" s="115"/>
      <c r="G17" s="117"/>
      <c r="H17" s="118"/>
      <c r="I17" s="119"/>
      <c r="K17" s="84"/>
    </row>
    <row r="18" spans="1:11" s="16" customFormat="1" ht="10.5" customHeight="1">
      <c r="A18" s="113" t="s">
        <v>347</v>
      </c>
      <c r="B18" s="103" t="s">
        <v>348</v>
      </c>
      <c r="C18" s="114" t="s">
        <v>359</v>
      </c>
      <c r="D18" s="115"/>
      <c r="E18" s="120">
        <v>0.88</v>
      </c>
      <c r="F18" s="115"/>
      <c r="G18" s="117"/>
      <c r="H18" s="118"/>
      <c r="I18" s="119"/>
      <c r="K18" s="84"/>
    </row>
    <row r="19" spans="1:11" s="16" customFormat="1" ht="10.5" customHeight="1">
      <c r="A19" s="113" t="s">
        <v>347</v>
      </c>
      <c r="B19" s="103" t="s">
        <v>348</v>
      </c>
      <c r="C19" s="114" t="s">
        <v>360</v>
      </c>
      <c r="D19" s="115" t="s">
        <v>361</v>
      </c>
      <c r="E19" s="120">
        <v>1.28</v>
      </c>
      <c r="F19" s="115"/>
      <c r="G19" s="117"/>
      <c r="H19" s="118"/>
      <c r="I19" s="119"/>
      <c r="K19" s="84"/>
    </row>
    <row r="20" spans="1:11" s="16" customFormat="1" ht="10.5" customHeight="1">
      <c r="A20" s="113" t="s">
        <v>347</v>
      </c>
      <c r="B20" s="103" t="s">
        <v>348</v>
      </c>
      <c r="C20" s="114" t="s">
        <v>362</v>
      </c>
      <c r="D20" s="115"/>
      <c r="E20" s="120">
        <f>1.19-0.605</f>
        <v>0.585</v>
      </c>
      <c r="F20" s="115"/>
      <c r="G20" s="117"/>
      <c r="H20" s="118"/>
      <c r="I20" s="119"/>
      <c r="K20" s="84"/>
    </row>
    <row r="21" spans="1:11" s="16" customFormat="1" ht="10.5" customHeight="1">
      <c r="A21" s="113" t="s">
        <v>347</v>
      </c>
      <c r="B21" s="103" t="s">
        <v>348</v>
      </c>
      <c r="C21" s="114" t="s">
        <v>363</v>
      </c>
      <c r="D21" s="115"/>
      <c r="E21" s="120">
        <v>1.21</v>
      </c>
      <c r="F21" s="115"/>
      <c r="G21" s="117"/>
      <c r="H21" s="118"/>
      <c r="I21" s="119"/>
      <c r="K21" s="84"/>
    </row>
    <row r="22" spans="1:11" s="16" customFormat="1" ht="10.5" customHeight="1">
      <c r="A22" s="113" t="s">
        <v>347</v>
      </c>
      <c r="B22" s="103" t="s">
        <v>364</v>
      </c>
      <c r="C22" s="114" t="s">
        <v>365</v>
      </c>
      <c r="D22" s="115" t="s">
        <v>366</v>
      </c>
      <c r="E22" s="120">
        <v>2.63</v>
      </c>
      <c r="F22" s="115"/>
      <c r="G22" s="117"/>
      <c r="H22" s="121"/>
      <c r="I22" s="119"/>
      <c r="K22" s="84"/>
    </row>
    <row r="23" spans="1:11" s="16" customFormat="1" ht="10.5" customHeight="1">
      <c r="A23" s="113" t="s">
        <v>347</v>
      </c>
      <c r="B23" s="103" t="s">
        <v>364</v>
      </c>
      <c r="C23" s="114" t="s">
        <v>367</v>
      </c>
      <c r="D23" s="115"/>
      <c r="E23" s="120">
        <v>3.06</v>
      </c>
      <c r="F23" s="115"/>
      <c r="G23" s="117"/>
      <c r="H23" s="121"/>
      <c r="I23" s="119"/>
      <c r="K23" s="84"/>
    </row>
    <row r="24" spans="1:11" s="16" customFormat="1" ht="10.5" customHeight="1">
      <c r="A24" s="113" t="s">
        <v>368</v>
      </c>
      <c r="B24" s="103" t="s">
        <v>348</v>
      </c>
      <c r="C24" s="114" t="s">
        <v>353</v>
      </c>
      <c r="D24" s="115"/>
      <c r="E24" s="116">
        <v>0.52</v>
      </c>
      <c r="F24" s="115"/>
      <c r="G24" s="117"/>
      <c r="H24" s="118"/>
      <c r="I24" s="119"/>
      <c r="K24" s="84"/>
    </row>
    <row r="25" spans="1:11" s="16" customFormat="1" ht="10.5" customHeight="1">
      <c r="A25" s="113" t="s">
        <v>368</v>
      </c>
      <c r="B25" s="103" t="s">
        <v>348</v>
      </c>
      <c r="C25" s="114" t="s">
        <v>369</v>
      </c>
      <c r="D25" s="115"/>
      <c r="E25" s="116">
        <v>0.9</v>
      </c>
      <c r="F25" s="115"/>
      <c r="G25" s="117"/>
      <c r="H25" s="118"/>
      <c r="I25" s="119"/>
      <c r="K25" s="84"/>
    </row>
    <row r="26" spans="1:11" s="16" customFormat="1" ht="10.5" customHeight="1">
      <c r="A26" s="113" t="s">
        <v>368</v>
      </c>
      <c r="B26" s="103" t="s">
        <v>370</v>
      </c>
      <c r="C26" s="114" t="s">
        <v>371</v>
      </c>
      <c r="D26" s="115" t="s">
        <v>372</v>
      </c>
      <c r="E26" s="116">
        <f>0.932-0.192</f>
        <v>0.74</v>
      </c>
      <c r="F26" s="115"/>
      <c r="G26" s="117"/>
      <c r="H26" s="118"/>
      <c r="I26" s="119"/>
      <c r="K26" s="84"/>
    </row>
    <row r="27" spans="1:11" s="16" customFormat="1" ht="10.5" customHeight="1">
      <c r="A27" s="113" t="s">
        <v>373</v>
      </c>
      <c r="B27" s="103" t="s">
        <v>348</v>
      </c>
      <c r="C27" s="114">
        <v>50</v>
      </c>
      <c r="D27" s="115"/>
      <c r="E27" s="116"/>
      <c r="F27" s="115" t="s">
        <v>374</v>
      </c>
      <c r="G27" s="122">
        <f>0.63+1.064+0.816-0.016</f>
        <v>2.4939999999999998</v>
      </c>
      <c r="H27" s="118"/>
      <c r="I27" s="119"/>
      <c r="K27" s="84"/>
    </row>
    <row r="28" spans="1:11" s="16" customFormat="1" ht="10.5" customHeight="1">
      <c r="A28" s="113" t="s">
        <v>373</v>
      </c>
      <c r="B28" s="103" t="s">
        <v>348</v>
      </c>
      <c r="C28" s="114">
        <v>80</v>
      </c>
      <c r="D28" s="115"/>
      <c r="E28" s="116"/>
      <c r="F28" s="115" t="s">
        <v>375</v>
      </c>
      <c r="G28" s="122">
        <f>1.402-0.117-0.265-0.244-0.06-0.34</f>
        <v>0.37599999999999995</v>
      </c>
      <c r="H28" s="118"/>
      <c r="I28" s="119"/>
      <c r="K28" s="84"/>
    </row>
    <row r="29" spans="1:11" s="16" customFormat="1" ht="10.5" customHeight="1">
      <c r="A29" s="113" t="s">
        <v>376</v>
      </c>
      <c r="B29" s="103" t="s">
        <v>348</v>
      </c>
      <c r="C29" s="114">
        <v>90</v>
      </c>
      <c r="D29" s="115" t="s">
        <v>377</v>
      </c>
      <c r="E29" s="116">
        <f>1.328-0.874-0.014</f>
        <v>0.44000000000000006</v>
      </c>
      <c r="F29" s="115"/>
      <c r="G29" s="122">
        <f>0.408+0.29+0.176-0.259-0.09-0.29</f>
        <v>0.23499999999999993</v>
      </c>
      <c r="H29" s="118"/>
      <c r="I29" s="119"/>
      <c r="K29" s="84"/>
    </row>
    <row r="30" spans="1:11" s="16" customFormat="1" ht="10.5" customHeight="1">
      <c r="A30" s="113" t="s">
        <v>376</v>
      </c>
      <c r="B30" s="103" t="s">
        <v>348</v>
      </c>
      <c r="C30" s="114">
        <v>100</v>
      </c>
      <c r="D30" s="115" t="s">
        <v>378</v>
      </c>
      <c r="E30" s="116">
        <f>4.842-3.302-0.352-1.046</f>
        <v>0.14199999999999968</v>
      </c>
      <c r="F30" s="115" t="s">
        <v>378</v>
      </c>
      <c r="G30" s="122">
        <f>0.68+2.15+0.34+0.132+0.352+1.046</f>
        <v>4.7</v>
      </c>
      <c r="H30" s="118"/>
      <c r="I30" s="119"/>
      <c r="K30" s="84"/>
    </row>
    <row r="31" spans="1:11" s="16" customFormat="1" ht="10.5" customHeight="1">
      <c r="A31" s="113" t="s">
        <v>376</v>
      </c>
      <c r="B31" s="103" t="s">
        <v>348</v>
      </c>
      <c r="C31" s="114">
        <v>110</v>
      </c>
      <c r="D31" s="115"/>
      <c r="E31" s="116"/>
      <c r="F31" s="115" t="s">
        <v>379</v>
      </c>
      <c r="G31" s="122">
        <f>0.416+0.162-0.202</f>
        <v>0.37599999999999995</v>
      </c>
      <c r="H31" s="118"/>
      <c r="I31" s="119"/>
      <c r="K31" s="84"/>
    </row>
    <row r="32" spans="1:11" s="16" customFormat="1" ht="10.5" customHeight="1">
      <c r="A32" s="113" t="s">
        <v>376</v>
      </c>
      <c r="B32" s="103" t="s">
        <v>348</v>
      </c>
      <c r="C32" s="114">
        <v>120</v>
      </c>
      <c r="D32" s="115" t="s">
        <v>380</v>
      </c>
      <c r="E32" s="116">
        <f>0.584-0.224</f>
        <v>0.36</v>
      </c>
      <c r="F32" s="115"/>
      <c r="G32" s="117"/>
      <c r="H32" s="118"/>
      <c r="I32" s="119"/>
      <c r="K32" s="84"/>
    </row>
    <row r="33" spans="1:11" s="16" customFormat="1" ht="10.5" customHeight="1">
      <c r="A33" s="113" t="s">
        <v>376</v>
      </c>
      <c r="B33" s="103" t="s">
        <v>348</v>
      </c>
      <c r="C33" s="114" t="s">
        <v>381</v>
      </c>
      <c r="D33" s="115"/>
      <c r="E33" s="116">
        <f>1.966-0.164</f>
        <v>1.802</v>
      </c>
      <c r="F33" s="115"/>
      <c r="G33" s="117"/>
      <c r="H33" s="118"/>
      <c r="I33" s="119"/>
      <c r="K33" s="84"/>
    </row>
    <row r="34" spans="1:11" s="16" customFormat="1" ht="10.5" customHeight="1">
      <c r="A34" s="113" t="s">
        <v>376</v>
      </c>
      <c r="B34" s="103" t="s">
        <v>348</v>
      </c>
      <c r="C34" s="114" t="s">
        <v>382</v>
      </c>
      <c r="D34" s="115" t="s">
        <v>383</v>
      </c>
      <c r="E34" s="116">
        <v>0.584</v>
      </c>
      <c r="F34" s="115"/>
      <c r="G34" s="117"/>
      <c r="H34" s="118"/>
      <c r="I34" s="119"/>
      <c r="K34" s="84"/>
    </row>
    <row r="35" spans="1:11" s="16" customFormat="1" ht="10.5" customHeight="1">
      <c r="A35" s="113" t="s">
        <v>376</v>
      </c>
      <c r="B35" s="103" t="s">
        <v>348</v>
      </c>
      <c r="C35" s="114">
        <v>130</v>
      </c>
      <c r="D35" s="115" t="s">
        <v>384</v>
      </c>
      <c r="E35" s="116">
        <f>0.2-0.018-0.01</f>
        <v>0.17200000000000001</v>
      </c>
      <c r="F35" s="115"/>
      <c r="G35" s="117"/>
      <c r="H35" s="118"/>
      <c r="I35" s="119"/>
      <c r="K35" s="84"/>
    </row>
    <row r="36" spans="1:11" s="16" customFormat="1" ht="10.5" customHeight="1">
      <c r="A36" s="113" t="s">
        <v>376</v>
      </c>
      <c r="B36" s="103" t="s">
        <v>348</v>
      </c>
      <c r="C36" s="114">
        <v>150</v>
      </c>
      <c r="D36" s="115" t="s">
        <v>385</v>
      </c>
      <c r="E36" s="116">
        <f>2.898-0.176-0.396-0.186</f>
        <v>2.14</v>
      </c>
      <c r="F36" s="115"/>
      <c r="G36" s="117"/>
      <c r="H36" s="118"/>
      <c r="I36" s="119"/>
      <c r="K36" s="84"/>
    </row>
    <row r="37" spans="1:11" s="16" customFormat="1" ht="10.5" customHeight="1">
      <c r="A37" s="113" t="s">
        <v>373</v>
      </c>
      <c r="B37" s="103" t="s">
        <v>348</v>
      </c>
      <c r="C37" s="114" t="s">
        <v>386</v>
      </c>
      <c r="D37" s="115" t="s">
        <v>387</v>
      </c>
      <c r="E37" s="116">
        <v>1.218</v>
      </c>
      <c r="F37" s="115"/>
      <c r="G37" s="117"/>
      <c r="H37" s="118"/>
      <c r="I37" s="119"/>
      <c r="K37" s="84"/>
    </row>
    <row r="38" spans="1:11" s="16" customFormat="1" ht="10.5" customHeight="1">
      <c r="A38" s="113" t="s">
        <v>373</v>
      </c>
      <c r="B38" s="103" t="s">
        <v>348</v>
      </c>
      <c r="C38" s="114" t="s">
        <v>388</v>
      </c>
      <c r="D38" s="115" t="s">
        <v>389</v>
      </c>
      <c r="E38" s="116">
        <f>1.038-0.536</f>
        <v>0.502</v>
      </c>
      <c r="F38" s="115"/>
      <c r="G38" s="117"/>
      <c r="H38" s="118"/>
      <c r="I38" s="123">
        <v>0.5</v>
      </c>
      <c r="J38" s="16" t="s">
        <v>390</v>
      </c>
      <c r="K38" s="84"/>
    </row>
    <row r="39" spans="1:11" s="16" customFormat="1" ht="10.5" customHeight="1">
      <c r="A39" s="113" t="s">
        <v>376</v>
      </c>
      <c r="B39" s="103" t="s">
        <v>348</v>
      </c>
      <c r="C39" s="114" t="s">
        <v>391</v>
      </c>
      <c r="D39" s="115" t="s">
        <v>392</v>
      </c>
      <c r="E39" s="116">
        <f>1.64-0.25</f>
        <v>1.39</v>
      </c>
      <c r="F39" s="115"/>
      <c r="G39" s="117"/>
      <c r="H39" s="118"/>
      <c r="I39" s="119"/>
      <c r="K39" s="84"/>
    </row>
    <row r="40" spans="1:11" s="16" customFormat="1" ht="10.5" customHeight="1">
      <c r="A40" s="113" t="s">
        <v>376</v>
      </c>
      <c r="B40" s="103" t="s">
        <v>370</v>
      </c>
      <c r="C40" s="114" t="s">
        <v>393</v>
      </c>
      <c r="D40" s="115" t="s">
        <v>394</v>
      </c>
      <c r="E40" s="116">
        <f>5.668-0.076-0.058-0.642-0.514-0.508-0.492</f>
        <v>3.378</v>
      </c>
      <c r="F40" s="115"/>
      <c r="G40" s="117"/>
      <c r="H40" s="118"/>
      <c r="I40" s="123">
        <v>0.13</v>
      </c>
      <c r="J40" s="16" t="s">
        <v>395</v>
      </c>
      <c r="K40" s="84"/>
    </row>
    <row r="41" spans="1:11" s="16" customFormat="1" ht="10.5" customHeight="1">
      <c r="A41" s="113" t="s">
        <v>376</v>
      </c>
      <c r="B41" s="103" t="s">
        <v>370</v>
      </c>
      <c r="C41" s="114" t="s">
        <v>396</v>
      </c>
      <c r="D41" s="115" t="s">
        <v>397</v>
      </c>
      <c r="E41" s="116">
        <f>1.016-0.718</f>
        <v>0.29800000000000004</v>
      </c>
      <c r="F41" s="115"/>
      <c r="G41" s="117"/>
      <c r="H41" s="118"/>
      <c r="I41" s="123" t="s">
        <v>398</v>
      </c>
      <c r="J41" s="16" t="s">
        <v>395</v>
      </c>
      <c r="K41" s="84"/>
    </row>
    <row r="42" spans="1:11" s="16" customFormat="1" ht="10.5" customHeight="1">
      <c r="A42" s="113" t="s">
        <v>376</v>
      </c>
      <c r="B42" s="103" t="s">
        <v>399</v>
      </c>
      <c r="C42" s="114" t="s">
        <v>400</v>
      </c>
      <c r="D42" s="115" t="s">
        <v>392</v>
      </c>
      <c r="E42" s="116">
        <v>1</v>
      </c>
      <c r="F42" s="115"/>
      <c r="G42" s="117"/>
      <c r="H42" s="118"/>
      <c r="I42" s="119"/>
      <c r="K42" s="84"/>
    </row>
    <row r="43" spans="1:11" s="16" customFormat="1" ht="10.5" customHeight="1">
      <c r="A43" s="113" t="s">
        <v>401</v>
      </c>
      <c r="B43" s="103" t="s">
        <v>348</v>
      </c>
      <c r="C43" s="114" t="s">
        <v>402</v>
      </c>
      <c r="D43" s="115"/>
      <c r="E43" s="120"/>
      <c r="F43" s="115"/>
      <c r="G43" s="122"/>
      <c r="H43" s="121">
        <v>2</v>
      </c>
      <c r="I43" s="119"/>
      <c r="K43" s="84"/>
    </row>
    <row r="44" spans="1:11" s="16" customFormat="1" ht="10.5" customHeight="1">
      <c r="A44" s="113" t="s">
        <v>401</v>
      </c>
      <c r="B44" s="103" t="s">
        <v>348</v>
      </c>
      <c r="C44" s="114">
        <v>45</v>
      </c>
      <c r="D44" s="115"/>
      <c r="E44" s="116"/>
      <c r="F44" s="115" t="s">
        <v>403</v>
      </c>
      <c r="G44" s="122">
        <f>2.49-0.135-0.31-0.088-0.09</f>
        <v>1.8670000000000002</v>
      </c>
      <c r="H44" s="118"/>
      <c r="I44" s="119"/>
      <c r="K44" s="84"/>
    </row>
    <row r="45" spans="1:11" s="16" customFormat="1" ht="10.5" customHeight="1">
      <c r="A45" s="113" t="s">
        <v>401</v>
      </c>
      <c r="B45" s="103" t="s">
        <v>348</v>
      </c>
      <c r="C45" s="114">
        <v>50</v>
      </c>
      <c r="D45" s="115"/>
      <c r="E45" s="116">
        <f>0.182+0.326-0.11-0.344</f>
        <v>0.05400000000000005</v>
      </c>
      <c r="F45" s="115"/>
      <c r="G45" s="117"/>
      <c r="H45" s="121">
        <v>1</v>
      </c>
      <c r="I45" s="119"/>
      <c r="K45" s="84"/>
    </row>
    <row r="46" spans="1:11" s="16" customFormat="1" ht="10.5" customHeight="1">
      <c r="A46" s="113" t="s">
        <v>401</v>
      </c>
      <c r="B46" s="103" t="s">
        <v>348</v>
      </c>
      <c r="C46" s="114">
        <v>50</v>
      </c>
      <c r="D46" s="115"/>
      <c r="E46" s="124">
        <f>0.265-0.106</f>
        <v>0.15900000000000003</v>
      </c>
      <c r="F46" s="115"/>
      <c r="G46" s="117"/>
      <c r="H46" s="118"/>
      <c r="I46" s="119"/>
      <c r="K46" s="84"/>
    </row>
    <row r="47" spans="1:11" s="16" customFormat="1" ht="10.5" customHeight="1">
      <c r="A47" s="113" t="s">
        <v>401</v>
      </c>
      <c r="B47" s="103" t="s">
        <v>348</v>
      </c>
      <c r="C47" s="114" t="s">
        <v>404</v>
      </c>
      <c r="D47" s="115"/>
      <c r="E47" s="120">
        <f>0.52-0.265</f>
        <v>0.255</v>
      </c>
      <c r="F47" s="115"/>
      <c r="G47" s="117"/>
      <c r="H47" s="118"/>
      <c r="I47" s="119"/>
      <c r="K47" s="84"/>
    </row>
    <row r="48" spans="1:11" s="16" customFormat="1" ht="10.5" customHeight="1">
      <c r="A48" s="113" t="s">
        <v>401</v>
      </c>
      <c r="B48" s="103" t="s">
        <v>348</v>
      </c>
      <c r="C48" s="114">
        <v>55</v>
      </c>
      <c r="D48" s="115"/>
      <c r="E48" s="116"/>
      <c r="F48" s="115" t="s">
        <v>405</v>
      </c>
      <c r="G48" s="122">
        <f>0.71-0.3</f>
        <v>0.41</v>
      </c>
      <c r="H48" s="118"/>
      <c r="I48" s="119">
        <v>0.28</v>
      </c>
      <c r="K48" s="84"/>
    </row>
    <row r="49" spans="1:11" s="16" customFormat="1" ht="10.5" customHeight="1">
      <c r="A49" s="113" t="s">
        <v>401</v>
      </c>
      <c r="B49" s="103" t="s">
        <v>348</v>
      </c>
      <c r="C49" s="114">
        <v>60</v>
      </c>
      <c r="D49" s="115" t="s">
        <v>406</v>
      </c>
      <c r="E49" s="116">
        <f>1.04-0.45</f>
        <v>0.5900000000000001</v>
      </c>
      <c r="F49" s="115" t="s">
        <v>406</v>
      </c>
      <c r="G49" s="122">
        <v>0.282</v>
      </c>
      <c r="H49" s="121">
        <v>2</v>
      </c>
      <c r="I49" s="119"/>
      <c r="K49" s="84"/>
    </row>
    <row r="50" spans="1:11" s="16" customFormat="1" ht="10.5" customHeight="1">
      <c r="A50" s="113" t="s">
        <v>401</v>
      </c>
      <c r="B50" s="103" t="s">
        <v>348</v>
      </c>
      <c r="C50" s="114">
        <v>70</v>
      </c>
      <c r="D50" s="115" t="s">
        <v>407</v>
      </c>
      <c r="E50" s="116">
        <f>1.02+0.89-0.668-0.25-0.51</f>
        <v>0.482</v>
      </c>
      <c r="F50" s="115"/>
      <c r="G50" s="117"/>
      <c r="H50" s="121">
        <v>2</v>
      </c>
      <c r="I50" s="119"/>
      <c r="K50" s="84"/>
    </row>
    <row r="51" spans="1:11" s="16" customFormat="1" ht="10.5" customHeight="1">
      <c r="A51" s="113" t="s">
        <v>401</v>
      </c>
      <c r="B51" s="103" t="s">
        <v>348</v>
      </c>
      <c r="C51" s="114" t="s">
        <v>408</v>
      </c>
      <c r="D51" s="115"/>
      <c r="E51" s="120">
        <v>1.03</v>
      </c>
      <c r="F51" s="115"/>
      <c r="G51" s="117"/>
      <c r="H51" s="125">
        <v>1.778</v>
      </c>
      <c r="I51" s="119"/>
      <c r="K51" s="85">
        <v>40603</v>
      </c>
    </row>
    <row r="52" spans="1:11" s="16" customFormat="1" ht="10.5" customHeight="1">
      <c r="A52" s="113" t="s">
        <v>401</v>
      </c>
      <c r="B52" s="103" t="s">
        <v>348</v>
      </c>
      <c r="C52" s="114" t="s">
        <v>409</v>
      </c>
      <c r="D52" s="115"/>
      <c r="E52" s="120">
        <v>0.72</v>
      </c>
      <c r="F52" s="115"/>
      <c r="G52" s="117"/>
      <c r="H52" s="125">
        <v>1.69</v>
      </c>
      <c r="I52" s="119"/>
      <c r="K52" s="85">
        <v>40603</v>
      </c>
    </row>
    <row r="53" spans="1:11" s="16" customFormat="1" ht="10.5" customHeight="1">
      <c r="A53" s="113" t="s">
        <v>401</v>
      </c>
      <c r="B53" s="103" t="s">
        <v>348</v>
      </c>
      <c r="C53" s="114">
        <v>100</v>
      </c>
      <c r="D53" s="115"/>
      <c r="E53" s="116"/>
      <c r="F53" s="115"/>
      <c r="G53" s="122">
        <f>1.714-1.02-0.352</f>
        <v>0.34199999999999997</v>
      </c>
      <c r="H53" s="118"/>
      <c r="I53" s="119"/>
      <c r="K53" s="84"/>
    </row>
    <row r="54" spans="1:11" s="16" customFormat="1" ht="10.5" customHeight="1">
      <c r="A54" s="113" t="s">
        <v>401</v>
      </c>
      <c r="B54" s="103" t="s">
        <v>348</v>
      </c>
      <c r="C54" s="114">
        <v>100</v>
      </c>
      <c r="D54" s="115" t="s">
        <v>410</v>
      </c>
      <c r="E54" s="116">
        <v>0.348</v>
      </c>
      <c r="F54" s="115"/>
      <c r="G54" s="117"/>
      <c r="H54" s="118"/>
      <c r="I54" s="119"/>
      <c r="K54" s="84"/>
    </row>
    <row r="55" spans="1:11" s="16" customFormat="1" ht="10.5" customHeight="1">
      <c r="A55" s="113" t="s">
        <v>401</v>
      </c>
      <c r="B55" s="103" t="s">
        <v>348</v>
      </c>
      <c r="C55" s="114" t="s">
        <v>411</v>
      </c>
      <c r="D55" s="115"/>
      <c r="E55" s="120">
        <v>0.67</v>
      </c>
      <c r="F55" s="115"/>
      <c r="G55" s="117"/>
      <c r="H55" s="121">
        <v>2</v>
      </c>
      <c r="I55" s="119"/>
      <c r="K55" s="84"/>
    </row>
    <row r="56" spans="1:11" s="16" customFormat="1" ht="10.5" customHeight="1">
      <c r="A56" s="113" t="s">
        <v>401</v>
      </c>
      <c r="B56" s="103" t="s">
        <v>348</v>
      </c>
      <c r="C56" s="114">
        <v>110</v>
      </c>
      <c r="D56" s="115" t="s">
        <v>412</v>
      </c>
      <c r="E56" s="116">
        <f>1.62-0.242</f>
        <v>1.3780000000000001</v>
      </c>
      <c r="F56" s="115"/>
      <c r="G56" s="117"/>
      <c r="H56" s="121">
        <v>2</v>
      </c>
      <c r="I56" s="119"/>
      <c r="K56" s="84"/>
    </row>
    <row r="57" spans="1:11" s="16" customFormat="1" ht="10.5" customHeight="1">
      <c r="A57" s="113" t="s">
        <v>401</v>
      </c>
      <c r="B57" s="103" t="s">
        <v>348</v>
      </c>
      <c r="C57" s="114">
        <v>120</v>
      </c>
      <c r="D57" s="115"/>
      <c r="E57" s="116">
        <f>1.93-0.264-0.218-0.98</f>
        <v>0.46799999999999997</v>
      </c>
      <c r="F57" s="115"/>
      <c r="G57" s="117"/>
      <c r="H57" s="125">
        <v>1.68</v>
      </c>
      <c r="I57" s="123"/>
      <c r="J57" s="86"/>
      <c r="K57" s="85">
        <v>40603</v>
      </c>
    </row>
    <row r="58" spans="1:11" s="16" customFormat="1" ht="10.5" customHeight="1">
      <c r="A58" s="113" t="s">
        <v>401</v>
      </c>
      <c r="B58" s="103" t="s">
        <v>348</v>
      </c>
      <c r="C58" s="114" t="s">
        <v>413</v>
      </c>
      <c r="D58" s="115"/>
      <c r="E58" s="120">
        <v>0.97</v>
      </c>
      <c r="F58" s="115"/>
      <c r="G58" s="117"/>
      <c r="H58" s="118"/>
      <c r="I58" s="119"/>
      <c r="K58" s="84"/>
    </row>
    <row r="59" spans="1:11" s="16" customFormat="1" ht="10.5" customHeight="1">
      <c r="A59" s="113" t="s">
        <v>401</v>
      </c>
      <c r="B59" s="103" t="s">
        <v>348</v>
      </c>
      <c r="C59" s="114">
        <v>130</v>
      </c>
      <c r="D59" s="115" t="s">
        <v>414</v>
      </c>
      <c r="E59" s="116">
        <f>0.99-0.17-0.33</f>
        <v>0.48999999999999994</v>
      </c>
      <c r="F59" s="115"/>
      <c r="G59" s="117"/>
      <c r="H59" s="125">
        <v>1.64</v>
      </c>
      <c r="I59" s="119"/>
      <c r="K59" s="85">
        <v>40603</v>
      </c>
    </row>
    <row r="60" spans="1:11" s="16" customFormat="1" ht="10.5" customHeight="1">
      <c r="A60" s="113" t="s">
        <v>401</v>
      </c>
      <c r="B60" s="103" t="s">
        <v>348</v>
      </c>
      <c r="C60" s="114" t="s">
        <v>415</v>
      </c>
      <c r="D60" s="115"/>
      <c r="E60" s="120">
        <v>0.99</v>
      </c>
      <c r="F60" s="115"/>
      <c r="G60" s="117"/>
      <c r="H60" s="118"/>
      <c r="I60" s="119"/>
      <c r="K60" s="84"/>
    </row>
    <row r="61" spans="1:11" s="16" customFormat="1" ht="10.5" customHeight="1">
      <c r="A61" s="113" t="s">
        <v>401</v>
      </c>
      <c r="B61" s="103" t="s">
        <v>348</v>
      </c>
      <c r="C61" s="114">
        <v>140</v>
      </c>
      <c r="D61" s="115"/>
      <c r="E61" s="120"/>
      <c r="F61" s="115"/>
      <c r="G61" s="117"/>
      <c r="H61" s="125">
        <v>6.09</v>
      </c>
      <c r="I61" s="119"/>
      <c r="K61" s="85">
        <v>40633</v>
      </c>
    </row>
    <row r="62" spans="1:11" s="16" customFormat="1" ht="10.5" customHeight="1">
      <c r="A62" s="113" t="s">
        <v>401</v>
      </c>
      <c r="B62" s="103" t="s">
        <v>348</v>
      </c>
      <c r="C62" s="114">
        <v>150</v>
      </c>
      <c r="D62" s="115" t="s">
        <v>416</v>
      </c>
      <c r="E62" s="124">
        <v>4.27</v>
      </c>
      <c r="F62" s="115"/>
      <c r="G62" s="117"/>
      <c r="H62" s="125"/>
      <c r="I62" s="119"/>
      <c r="K62" s="85"/>
    </row>
    <row r="63" spans="1:11" s="16" customFormat="1" ht="10.5" customHeight="1">
      <c r="A63" s="113" t="s">
        <v>401</v>
      </c>
      <c r="B63" s="103" t="s">
        <v>348</v>
      </c>
      <c r="C63" s="114" t="s">
        <v>417</v>
      </c>
      <c r="D63" s="115"/>
      <c r="E63" s="120">
        <v>0.88</v>
      </c>
      <c r="F63" s="115"/>
      <c r="G63" s="117"/>
      <c r="H63" s="118"/>
      <c r="I63" s="119"/>
      <c r="K63" s="84"/>
    </row>
    <row r="64" spans="1:11" s="16" customFormat="1" ht="10.5" customHeight="1">
      <c r="A64" s="113" t="s">
        <v>401</v>
      </c>
      <c r="B64" s="103" t="s">
        <v>348</v>
      </c>
      <c r="C64" s="114">
        <v>160</v>
      </c>
      <c r="D64" s="115"/>
      <c r="E64" s="120"/>
      <c r="F64" s="115"/>
      <c r="G64" s="117"/>
      <c r="H64" s="125">
        <v>4</v>
      </c>
      <c r="I64" s="119"/>
      <c r="K64" s="85">
        <v>40630</v>
      </c>
    </row>
    <row r="65" spans="1:11" s="16" customFormat="1" ht="10.5" customHeight="1">
      <c r="A65" s="113" t="s">
        <v>401</v>
      </c>
      <c r="B65" s="103" t="s">
        <v>348</v>
      </c>
      <c r="C65" s="114" t="s">
        <v>418</v>
      </c>
      <c r="D65" s="115"/>
      <c r="E65" s="120">
        <v>1.555</v>
      </c>
      <c r="F65" s="115"/>
      <c r="G65" s="117"/>
      <c r="H65" s="118"/>
      <c r="I65" s="119"/>
      <c r="K65" s="84"/>
    </row>
    <row r="66" spans="1:11" s="16" customFormat="1" ht="10.5" customHeight="1">
      <c r="A66" s="113" t="s">
        <v>401</v>
      </c>
      <c r="B66" s="103" t="s">
        <v>348</v>
      </c>
      <c r="C66" s="114">
        <v>180</v>
      </c>
      <c r="D66" s="115"/>
      <c r="E66" s="120"/>
      <c r="F66" s="115"/>
      <c r="G66" s="117"/>
      <c r="H66" s="125">
        <v>4</v>
      </c>
      <c r="I66" s="119"/>
      <c r="K66" s="85">
        <v>40630</v>
      </c>
    </row>
    <row r="67" spans="1:11" s="16" customFormat="1" ht="10.5" customHeight="1">
      <c r="A67" s="113" t="s">
        <v>401</v>
      </c>
      <c r="B67" s="103" t="s">
        <v>348</v>
      </c>
      <c r="C67" s="114">
        <v>200</v>
      </c>
      <c r="D67" s="115"/>
      <c r="E67" s="116"/>
      <c r="F67" s="115"/>
      <c r="G67" s="117"/>
      <c r="H67" s="125">
        <v>4</v>
      </c>
      <c r="I67" s="119"/>
      <c r="K67" s="85">
        <v>40591</v>
      </c>
    </row>
    <row r="68" spans="1:11" s="16" customFormat="1" ht="10.5" customHeight="1">
      <c r="A68" s="113" t="s">
        <v>401</v>
      </c>
      <c r="B68" s="103" t="s">
        <v>348</v>
      </c>
      <c r="C68" s="114" t="s">
        <v>419</v>
      </c>
      <c r="D68" s="115"/>
      <c r="E68" s="116"/>
      <c r="F68" s="115"/>
      <c r="G68" s="117"/>
      <c r="H68" s="121">
        <v>2</v>
      </c>
      <c r="I68" s="119"/>
      <c r="K68" s="85"/>
    </row>
    <row r="69" spans="1:11" s="16" customFormat="1" ht="10.5" customHeight="1">
      <c r="A69" s="113" t="s">
        <v>401</v>
      </c>
      <c r="B69" s="103" t="s">
        <v>348</v>
      </c>
      <c r="C69" s="114">
        <v>250</v>
      </c>
      <c r="D69" s="115" t="s">
        <v>420</v>
      </c>
      <c r="E69" s="124">
        <f>5.67-0.696-0.952-0.956-0.25</f>
        <v>2.8160000000000003</v>
      </c>
      <c r="F69" s="115" t="s">
        <v>421</v>
      </c>
      <c r="G69" s="122">
        <v>0.25</v>
      </c>
      <c r="H69" s="118"/>
      <c r="I69" s="123">
        <v>2</v>
      </c>
      <c r="J69" s="16" t="s">
        <v>390</v>
      </c>
      <c r="K69" s="84"/>
    </row>
    <row r="70" spans="1:11" s="16" customFormat="1" ht="10.5" customHeight="1">
      <c r="A70" s="113" t="s">
        <v>401</v>
      </c>
      <c r="B70" s="103" t="s">
        <v>348</v>
      </c>
      <c r="C70" s="114" t="s">
        <v>422</v>
      </c>
      <c r="D70" s="115"/>
      <c r="E70" s="120">
        <v>0.69</v>
      </c>
      <c r="F70" s="115"/>
      <c r="G70" s="117"/>
      <c r="H70" s="121">
        <v>2</v>
      </c>
      <c r="I70" s="119"/>
      <c r="K70" s="84"/>
    </row>
    <row r="71" spans="1:11" s="16" customFormat="1" ht="10.5" customHeight="1">
      <c r="A71" s="113" t="s">
        <v>401</v>
      </c>
      <c r="B71" s="103" t="s">
        <v>348</v>
      </c>
      <c r="C71" s="114" t="s">
        <v>423</v>
      </c>
      <c r="D71" s="115" t="s">
        <v>424</v>
      </c>
      <c r="E71" s="116">
        <v>0.562</v>
      </c>
      <c r="F71" s="115"/>
      <c r="G71" s="117"/>
      <c r="H71" s="121"/>
      <c r="I71" s="119"/>
      <c r="K71" s="84"/>
    </row>
    <row r="72" spans="1:11" s="16" customFormat="1" ht="10.5" customHeight="1">
      <c r="A72" s="113" t="s">
        <v>401</v>
      </c>
      <c r="B72" s="103" t="s">
        <v>364</v>
      </c>
      <c r="C72" s="114" t="s">
        <v>425</v>
      </c>
      <c r="D72" s="115" t="s">
        <v>426</v>
      </c>
      <c r="E72" s="116">
        <f>1.784-0.21</f>
        <v>1.574</v>
      </c>
      <c r="F72" s="115"/>
      <c r="G72" s="117"/>
      <c r="H72" s="118"/>
      <c r="I72" s="119">
        <v>0.1</v>
      </c>
      <c r="J72" s="16" t="s">
        <v>390</v>
      </c>
      <c r="K72" s="84"/>
    </row>
    <row r="73" spans="1:11" s="16" customFormat="1" ht="10.5" customHeight="1">
      <c r="A73" s="113" t="s">
        <v>401</v>
      </c>
      <c r="B73" s="103" t="s">
        <v>364</v>
      </c>
      <c r="C73" s="114" t="s">
        <v>427</v>
      </c>
      <c r="D73" s="115"/>
      <c r="E73" s="120">
        <v>0.615</v>
      </c>
      <c r="F73" s="115"/>
      <c r="G73" s="117"/>
      <c r="H73" s="121">
        <v>1</v>
      </c>
      <c r="I73" s="119"/>
      <c r="K73" s="84"/>
    </row>
    <row r="74" spans="1:11" s="16" customFormat="1" ht="10.5" customHeight="1">
      <c r="A74" s="113" t="s">
        <v>401</v>
      </c>
      <c r="B74" s="103" t="s">
        <v>364</v>
      </c>
      <c r="C74" s="114" t="s">
        <v>365</v>
      </c>
      <c r="D74" s="115"/>
      <c r="E74" s="120">
        <v>1.335</v>
      </c>
      <c r="F74" s="115"/>
      <c r="G74" s="117"/>
      <c r="H74" s="118"/>
      <c r="I74" s="119"/>
      <c r="K74" s="84"/>
    </row>
    <row r="75" spans="1:11" s="16" customFormat="1" ht="10.5" customHeight="1">
      <c r="A75" s="113" t="s">
        <v>401</v>
      </c>
      <c r="B75" s="103" t="s">
        <v>364</v>
      </c>
      <c r="C75" s="114" t="s">
        <v>428</v>
      </c>
      <c r="D75" s="115" t="s">
        <v>429</v>
      </c>
      <c r="E75" s="120">
        <v>1.035</v>
      </c>
      <c r="F75" s="115"/>
      <c r="G75" s="117"/>
      <c r="H75" s="118"/>
      <c r="I75" s="119"/>
      <c r="K75" s="84"/>
    </row>
    <row r="76" spans="1:11" s="16" customFormat="1" ht="10.5" customHeight="1">
      <c r="A76" s="113" t="s">
        <v>401</v>
      </c>
      <c r="B76" s="103" t="s">
        <v>364</v>
      </c>
      <c r="C76" s="114" t="s">
        <v>430</v>
      </c>
      <c r="D76" s="115"/>
      <c r="E76" s="120"/>
      <c r="F76" s="115"/>
      <c r="G76" s="117"/>
      <c r="H76" s="121">
        <v>2</v>
      </c>
      <c r="I76" s="119"/>
      <c r="K76" s="84"/>
    </row>
    <row r="77" spans="1:11" s="16" customFormat="1" ht="10.5" customHeight="1">
      <c r="A77" s="113" t="s">
        <v>401</v>
      </c>
      <c r="B77" s="103" t="s">
        <v>364</v>
      </c>
      <c r="C77" s="114" t="s">
        <v>431</v>
      </c>
      <c r="D77" s="115"/>
      <c r="E77" s="120"/>
      <c r="F77" s="115"/>
      <c r="G77" s="117"/>
      <c r="H77" s="121">
        <v>2</v>
      </c>
      <c r="I77" s="119"/>
      <c r="K77" s="84"/>
    </row>
    <row r="78" spans="1:11" s="16" customFormat="1" ht="10.5" customHeight="1">
      <c r="A78" s="113" t="s">
        <v>401</v>
      </c>
      <c r="B78" s="103" t="s">
        <v>364</v>
      </c>
      <c r="C78" s="114" t="s">
        <v>432</v>
      </c>
      <c r="D78" s="115"/>
      <c r="E78" s="120"/>
      <c r="F78" s="115"/>
      <c r="G78" s="117"/>
      <c r="H78" s="121">
        <v>2</v>
      </c>
      <c r="I78" s="119"/>
      <c r="K78" s="84"/>
    </row>
    <row r="79" spans="1:11" s="16" customFormat="1" ht="10.5" customHeight="1">
      <c r="A79" s="113" t="s">
        <v>401</v>
      </c>
      <c r="B79" s="103" t="s">
        <v>364</v>
      </c>
      <c r="C79" s="114" t="s">
        <v>433</v>
      </c>
      <c r="D79" s="115"/>
      <c r="E79" s="120"/>
      <c r="F79" s="115"/>
      <c r="G79" s="117"/>
      <c r="H79" s="121">
        <v>1</v>
      </c>
      <c r="I79" s="119"/>
      <c r="K79" s="84"/>
    </row>
    <row r="80" spans="1:11" s="16" customFormat="1" ht="10.5" customHeight="1">
      <c r="A80" s="113" t="s">
        <v>401</v>
      </c>
      <c r="B80" s="103" t="s">
        <v>364</v>
      </c>
      <c r="C80" s="114" t="s">
        <v>434</v>
      </c>
      <c r="D80" s="115"/>
      <c r="E80" s="120"/>
      <c r="F80" s="115"/>
      <c r="G80" s="117"/>
      <c r="H80" s="121">
        <v>1</v>
      </c>
      <c r="I80" s="119"/>
      <c r="K80" s="84"/>
    </row>
    <row r="81" spans="1:11" s="16" customFormat="1" ht="10.5" customHeight="1">
      <c r="A81" s="113" t="s">
        <v>401</v>
      </c>
      <c r="B81" s="103" t="s">
        <v>399</v>
      </c>
      <c r="C81" s="114" t="s">
        <v>435</v>
      </c>
      <c r="D81" s="115" t="s">
        <v>436</v>
      </c>
      <c r="E81" s="116">
        <f>1.71-0.3</f>
        <v>1.41</v>
      </c>
      <c r="F81" s="115"/>
      <c r="G81" s="117"/>
      <c r="H81" s="118"/>
      <c r="I81" s="119"/>
      <c r="K81" s="84"/>
    </row>
    <row r="82" spans="1:11" s="16" customFormat="1" ht="10.5" customHeight="1">
      <c r="A82" s="113" t="s">
        <v>437</v>
      </c>
      <c r="B82" s="103" t="s">
        <v>348</v>
      </c>
      <c r="C82" s="114">
        <v>40</v>
      </c>
      <c r="D82" s="115" t="s">
        <v>438</v>
      </c>
      <c r="E82" s="116">
        <v>0.386</v>
      </c>
      <c r="F82" s="115"/>
      <c r="G82" s="117"/>
      <c r="H82" s="118"/>
      <c r="I82" s="119"/>
      <c r="K82" s="84"/>
    </row>
    <row r="83" spans="1:11" s="16" customFormat="1" ht="10.5" customHeight="1">
      <c r="A83" s="113" t="s">
        <v>437</v>
      </c>
      <c r="B83" s="103" t="s">
        <v>370</v>
      </c>
      <c r="C83" s="114" t="s">
        <v>439</v>
      </c>
      <c r="D83" s="115" t="s">
        <v>440</v>
      </c>
      <c r="E83" s="116">
        <f>0.527+0.183</f>
        <v>0.71</v>
      </c>
      <c r="F83" s="115"/>
      <c r="G83" s="117"/>
      <c r="H83" s="118"/>
      <c r="I83" s="119"/>
      <c r="K83" s="84"/>
    </row>
    <row r="84" spans="1:11" s="16" customFormat="1" ht="10.5" customHeight="1">
      <c r="A84" s="113" t="s">
        <v>441</v>
      </c>
      <c r="B84" s="103" t="s">
        <v>348</v>
      </c>
      <c r="C84" s="114">
        <v>20</v>
      </c>
      <c r="D84" s="115"/>
      <c r="E84" s="116"/>
      <c r="F84" s="115" t="s">
        <v>442</v>
      </c>
      <c r="G84" s="117">
        <v>1.1</v>
      </c>
      <c r="H84" s="118"/>
      <c r="I84" s="119"/>
      <c r="K84" s="84"/>
    </row>
    <row r="85" spans="1:11" s="16" customFormat="1" ht="10.5" customHeight="1">
      <c r="A85" s="113" t="s">
        <v>443</v>
      </c>
      <c r="B85" s="103" t="s">
        <v>348</v>
      </c>
      <c r="C85" s="114" t="s">
        <v>444</v>
      </c>
      <c r="D85" s="115"/>
      <c r="E85" s="116">
        <v>3.76</v>
      </c>
      <c r="F85" s="115"/>
      <c r="G85" s="117"/>
      <c r="H85" s="118"/>
      <c r="I85" s="119"/>
      <c r="K85" s="84"/>
    </row>
    <row r="86" spans="1:11" s="16" customFormat="1" ht="10.5" customHeight="1">
      <c r="A86" s="113" t="s">
        <v>441</v>
      </c>
      <c r="B86" s="103" t="s">
        <v>348</v>
      </c>
      <c r="C86" s="114">
        <v>25</v>
      </c>
      <c r="D86" s="115" t="s">
        <v>445</v>
      </c>
      <c r="E86" s="116">
        <v>0.864</v>
      </c>
      <c r="F86" s="115"/>
      <c r="G86" s="117"/>
      <c r="H86" s="118"/>
      <c r="I86" s="119"/>
      <c r="K86" s="84"/>
    </row>
    <row r="87" spans="1:11" s="16" customFormat="1" ht="10.5" customHeight="1">
      <c r="A87" s="113" t="s">
        <v>446</v>
      </c>
      <c r="B87" s="103" t="s">
        <v>348</v>
      </c>
      <c r="C87" s="114">
        <v>35</v>
      </c>
      <c r="D87" s="115" t="s">
        <v>447</v>
      </c>
      <c r="E87" s="116">
        <v>0.174</v>
      </c>
      <c r="F87" s="115"/>
      <c r="G87" s="117"/>
      <c r="H87" s="118"/>
      <c r="I87" s="123">
        <v>0.174</v>
      </c>
      <c r="J87" s="16" t="s">
        <v>390</v>
      </c>
      <c r="K87" s="84"/>
    </row>
    <row r="88" spans="1:11" s="16" customFormat="1" ht="10.5" customHeight="1">
      <c r="A88" s="113" t="s">
        <v>443</v>
      </c>
      <c r="B88" s="103" t="s">
        <v>348</v>
      </c>
      <c r="C88" s="114" t="s">
        <v>448</v>
      </c>
      <c r="D88" s="115" t="s">
        <v>449</v>
      </c>
      <c r="E88" s="116">
        <f>0.266-0.016</f>
        <v>0.25</v>
      </c>
      <c r="F88" s="115"/>
      <c r="G88" s="117"/>
      <c r="H88" s="118"/>
      <c r="I88" s="119"/>
      <c r="K88" s="84"/>
    </row>
    <row r="89" spans="1:11" s="16" customFormat="1" ht="10.5" customHeight="1">
      <c r="A89" s="113" t="s">
        <v>450</v>
      </c>
      <c r="B89" s="103" t="s">
        <v>348</v>
      </c>
      <c r="C89" s="114">
        <v>50</v>
      </c>
      <c r="D89" s="115" t="s">
        <v>451</v>
      </c>
      <c r="E89" s="116">
        <v>0.896</v>
      </c>
      <c r="F89" s="115"/>
      <c r="G89" s="117"/>
      <c r="H89" s="118"/>
      <c r="I89" s="119"/>
      <c r="K89" s="84"/>
    </row>
    <row r="90" spans="1:11" s="16" customFormat="1" ht="10.5" customHeight="1">
      <c r="A90" s="113" t="s">
        <v>446</v>
      </c>
      <c r="B90" s="103" t="s">
        <v>348</v>
      </c>
      <c r="C90" s="114">
        <v>55</v>
      </c>
      <c r="D90" s="115" t="s">
        <v>452</v>
      </c>
      <c r="E90" s="116">
        <v>1.154</v>
      </c>
      <c r="F90" s="115"/>
      <c r="G90" s="117"/>
      <c r="H90" s="118"/>
      <c r="I90" s="119"/>
      <c r="K90" s="84"/>
    </row>
    <row r="91" spans="1:11" s="16" customFormat="1" ht="10.5" customHeight="1">
      <c r="A91" s="113" t="s">
        <v>443</v>
      </c>
      <c r="B91" s="103" t="s">
        <v>348</v>
      </c>
      <c r="C91" s="114">
        <v>60</v>
      </c>
      <c r="D91" s="115" t="s">
        <v>447</v>
      </c>
      <c r="E91" s="116">
        <v>0.27</v>
      </c>
      <c r="F91" s="115"/>
      <c r="G91" s="117"/>
      <c r="H91" s="118"/>
      <c r="I91" s="119"/>
      <c r="K91" s="84"/>
    </row>
    <row r="92" spans="1:11" s="16" customFormat="1" ht="10.5" customHeight="1">
      <c r="A92" s="113" t="s">
        <v>443</v>
      </c>
      <c r="B92" s="103" t="s">
        <v>348</v>
      </c>
      <c r="C92" s="114">
        <v>70</v>
      </c>
      <c r="D92" s="115" t="s">
        <v>453</v>
      </c>
      <c r="E92" s="116">
        <v>0.238</v>
      </c>
      <c r="F92" s="115"/>
      <c r="G92" s="117"/>
      <c r="H92" s="118"/>
      <c r="I92" s="119"/>
      <c r="K92" s="84"/>
    </row>
    <row r="93" spans="1:11" s="16" customFormat="1" ht="10.5" customHeight="1">
      <c r="A93" s="113" t="s">
        <v>450</v>
      </c>
      <c r="B93" s="103" t="s">
        <v>348</v>
      </c>
      <c r="C93" s="114">
        <v>70</v>
      </c>
      <c r="D93" s="115"/>
      <c r="E93" s="116">
        <f>0.396-0.13</f>
        <v>0.266</v>
      </c>
      <c r="F93" s="115" t="s">
        <v>454</v>
      </c>
      <c r="G93" s="117">
        <f>0.668-0.255</f>
        <v>0.41300000000000003</v>
      </c>
      <c r="H93" s="118"/>
      <c r="I93" s="119"/>
      <c r="K93" s="84"/>
    </row>
    <row r="94" spans="1:11" s="16" customFormat="1" ht="10.5" customHeight="1">
      <c r="A94" s="113" t="s">
        <v>446</v>
      </c>
      <c r="B94" s="103" t="s">
        <v>348</v>
      </c>
      <c r="C94" s="114">
        <v>80</v>
      </c>
      <c r="D94" s="115" t="s">
        <v>455</v>
      </c>
      <c r="E94" s="116">
        <f>5.242-0.152-0.5</f>
        <v>4.59</v>
      </c>
      <c r="F94" s="115"/>
      <c r="G94" s="117"/>
      <c r="H94" s="118"/>
      <c r="I94" s="123"/>
      <c r="K94" s="84"/>
    </row>
    <row r="95" spans="1:11" s="16" customFormat="1" ht="10.5" customHeight="1">
      <c r="A95" s="113" t="s">
        <v>450</v>
      </c>
      <c r="B95" s="103" t="s">
        <v>348</v>
      </c>
      <c r="C95" s="114" t="s">
        <v>408</v>
      </c>
      <c r="D95" s="115"/>
      <c r="E95" s="120">
        <f>1-0.415</f>
        <v>0.585</v>
      </c>
      <c r="F95" s="115"/>
      <c r="G95" s="117"/>
      <c r="H95" s="121">
        <v>2</v>
      </c>
      <c r="I95" s="119"/>
      <c r="K95" s="84"/>
    </row>
    <row r="96" spans="1:11" s="16" customFormat="1" ht="10.5" customHeight="1">
      <c r="A96" s="113" t="s">
        <v>446</v>
      </c>
      <c r="B96" s="103" t="s">
        <v>348</v>
      </c>
      <c r="C96" s="114">
        <v>90</v>
      </c>
      <c r="D96" s="115"/>
      <c r="E96" s="116"/>
      <c r="F96" s="115" t="s">
        <v>456</v>
      </c>
      <c r="G96" s="126">
        <f>1.35-0.085</f>
        <v>1.2650000000000001</v>
      </c>
      <c r="H96" s="118"/>
      <c r="I96" s="119"/>
      <c r="K96" s="84"/>
    </row>
    <row r="97" spans="1:11" s="16" customFormat="1" ht="10.5" customHeight="1">
      <c r="A97" s="113" t="s">
        <v>443</v>
      </c>
      <c r="B97" s="103" t="s">
        <v>348</v>
      </c>
      <c r="C97" s="114" t="s">
        <v>457</v>
      </c>
      <c r="D97" s="115"/>
      <c r="E97" s="116"/>
      <c r="F97" s="115" t="s">
        <v>458</v>
      </c>
      <c r="G97" s="126">
        <v>0.474</v>
      </c>
      <c r="H97" s="118"/>
      <c r="I97" s="119"/>
      <c r="K97" s="84"/>
    </row>
    <row r="98" spans="1:11" s="16" customFormat="1" ht="10.5" customHeight="1">
      <c r="A98" s="113" t="s">
        <v>450</v>
      </c>
      <c r="B98" s="103" t="s">
        <v>348</v>
      </c>
      <c r="C98" s="114" t="s">
        <v>409</v>
      </c>
      <c r="D98" s="115"/>
      <c r="E98" s="120">
        <v>0.98</v>
      </c>
      <c r="F98" s="115"/>
      <c r="G98" s="117"/>
      <c r="H98" s="118"/>
      <c r="I98" s="119"/>
      <c r="K98" s="84"/>
    </row>
    <row r="99" spans="1:11" s="16" customFormat="1" ht="10.5" customHeight="1">
      <c r="A99" s="113" t="s">
        <v>450</v>
      </c>
      <c r="B99" s="103" t="s">
        <v>348</v>
      </c>
      <c r="C99" s="114" t="s">
        <v>411</v>
      </c>
      <c r="D99" s="115"/>
      <c r="E99" s="120">
        <v>1.01</v>
      </c>
      <c r="F99" s="115"/>
      <c r="G99" s="117"/>
      <c r="H99" s="118"/>
      <c r="I99" s="119"/>
      <c r="K99" s="84"/>
    </row>
    <row r="100" spans="1:11" s="16" customFormat="1" ht="10.5" customHeight="1">
      <c r="A100" s="113" t="s">
        <v>446</v>
      </c>
      <c r="B100" s="103" t="s">
        <v>348</v>
      </c>
      <c r="C100" s="114">
        <v>120</v>
      </c>
      <c r="D100" s="115" t="s">
        <v>459</v>
      </c>
      <c r="E100" s="116">
        <f>1.87-0.166-0.184-0.534-0.468</f>
        <v>0.5180000000000002</v>
      </c>
      <c r="F100" s="115"/>
      <c r="G100" s="117"/>
      <c r="H100" s="118"/>
      <c r="I100" s="119"/>
      <c r="K100" s="84"/>
    </row>
    <row r="101" spans="1:11" s="16" customFormat="1" ht="10.5" customHeight="1">
      <c r="A101" s="113" t="s">
        <v>450</v>
      </c>
      <c r="B101" s="103" t="s">
        <v>348</v>
      </c>
      <c r="C101" s="114" t="s">
        <v>413</v>
      </c>
      <c r="D101" s="115"/>
      <c r="E101" s="120"/>
      <c r="F101" s="115"/>
      <c r="G101" s="117"/>
      <c r="H101" s="121">
        <v>2</v>
      </c>
      <c r="I101" s="119"/>
      <c r="K101" s="84"/>
    </row>
    <row r="102" spans="1:11" s="16" customFormat="1" ht="10.5" customHeight="1">
      <c r="A102" s="113" t="s">
        <v>446</v>
      </c>
      <c r="B102" s="103" t="s">
        <v>348</v>
      </c>
      <c r="C102" s="114">
        <v>130</v>
      </c>
      <c r="D102" s="115" t="s">
        <v>442</v>
      </c>
      <c r="E102" s="116">
        <f>6.608-2.84</f>
        <v>3.768</v>
      </c>
      <c r="F102" s="115"/>
      <c r="G102" s="126"/>
      <c r="H102" s="118"/>
      <c r="I102" s="119"/>
      <c r="K102" s="84"/>
    </row>
    <row r="103" spans="1:11" s="16" customFormat="1" ht="10.5" customHeight="1">
      <c r="A103" s="113" t="s">
        <v>450</v>
      </c>
      <c r="B103" s="103" t="s">
        <v>348</v>
      </c>
      <c r="C103" s="114" t="s">
        <v>460</v>
      </c>
      <c r="D103" s="115"/>
      <c r="E103" s="120">
        <v>0.855</v>
      </c>
      <c r="F103" s="115"/>
      <c r="G103" s="117"/>
      <c r="H103" s="118"/>
      <c r="I103" s="119"/>
      <c r="K103" s="84"/>
    </row>
    <row r="104" spans="1:11" s="16" customFormat="1" ht="10.5" customHeight="1">
      <c r="A104" s="113" t="s">
        <v>443</v>
      </c>
      <c r="B104" s="103" t="s">
        <v>348</v>
      </c>
      <c r="C104" s="114">
        <v>150</v>
      </c>
      <c r="D104" s="115"/>
      <c r="E104" s="120"/>
      <c r="F104" s="115"/>
      <c r="G104" s="117"/>
      <c r="H104" s="118">
        <v>2.88</v>
      </c>
      <c r="I104" s="119"/>
      <c r="K104" s="84"/>
    </row>
    <row r="105" spans="1:11" s="16" customFormat="1" ht="10.5" customHeight="1">
      <c r="A105" s="113" t="s">
        <v>450</v>
      </c>
      <c r="B105" s="103" t="s">
        <v>348</v>
      </c>
      <c r="C105" s="114" t="s">
        <v>461</v>
      </c>
      <c r="D105" s="115" t="s">
        <v>462</v>
      </c>
      <c r="E105" s="116">
        <f>1.855-0.186</f>
        <v>1.669</v>
      </c>
      <c r="F105" s="115"/>
      <c r="G105" s="117"/>
      <c r="H105" s="121">
        <v>2</v>
      </c>
      <c r="I105" s="123"/>
      <c r="K105" s="84"/>
    </row>
    <row r="106" spans="1:11" s="16" customFormat="1" ht="10.5" customHeight="1">
      <c r="A106" s="113" t="s">
        <v>450</v>
      </c>
      <c r="B106" s="103" t="s">
        <v>348</v>
      </c>
      <c r="C106" s="114" t="s">
        <v>417</v>
      </c>
      <c r="D106" s="115"/>
      <c r="E106" s="120">
        <v>0.95</v>
      </c>
      <c r="F106" s="115"/>
      <c r="G106" s="117"/>
      <c r="H106" s="121">
        <v>2</v>
      </c>
      <c r="I106" s="119"/>
      <c r="K106" s="84"/>
    </row>
    <row r="107" spans="1:11" s="16" customFormat="1" ht="10.5" customHeight="1">
      <c r="A107" s="113" t="s">
        <v>450</v>
      </c>
      <c r="B107" s="103" t="s">
        <v>348</v>
      </c>
      <c r="C107" s="114" t="s">
        <v>463</v>
      </c>
      <c r="D107" s="115" t="s">
        <v>464</v>
      </c>
      <c r="E107" s="116">
        <v>0.95</v>
      </c>
      <c r="F107" s="115"/>
      <c r="G107" s="117"/>
      <c r="H107" s="121">
        <v>2</v>
      </c>
      <c r="I107" s="119"/>
      <c r="K107" s="84"/>
    </row>
    <row r="108" spans="1:11" s="16" customFormat="1" ht="10.5" customHeight="1">
      <c r="A108" s="113" t="s">
        <v>450</v>
      </c>
      <c r="B108" s="103" t="s">
        <v>348</v>
      </c>
      <c r="C108" s="114" t="s">
        <v>465</v>
      </c>
      <c r="D108" s="115"/>
      <c r="E108" s="120"/>
      <c r="F108" s="115"/>
      <c r="G108" s="117"/>
      <c r="H108" s="121">
        <v>2</v>
      </c>
      <c r="I108" s="119"/>
      <c r="K108" s="84"/>
    </row>
    <row r="109" spans="1:11" s="16" customFormat="1" ht="10.5" customHeight="1">
      <c r="A109" s="113" t="s">
        <v>450</v>
      </c>
      <c r="B109" s="103" t="s">
        <v>348</v>
      </c>
      <c r="C109" s="114" t="s">
        <v>466</v>
      </c>
      <c r="D109" s="115" t="s">
        <v>467</v>
      </c>
      <c r="E109" s="120">
        <f>2.875-0.085</f>
        <v>2.79</v>
      </c>
      <c r="F109" s="115"/>
      <c r="G109" s="117"/>
      <c r="H109" s="118"/>
      <c r="I109" s="119"/>
      <c r="K109" s="84"/>
    </row>
    <row r="110" spans="1:11" s="16" customFormat="1" ht="10.5" customHeight="1">
      <c r="A110" s="113" t="s">
        <v>443</v>
      </c>
      <c r="B110" s="103" t="s">
        <v>348</v>
      </c>
      <c r="C110" s="114">
        <v>200</v>
      </c>
      <c r="D110" s="115" t="s">
        <v>468</v>
      </c>
      <c r="E110" s="116">
        <f>3.93-0.75</f>
        <v>3.18</v>
      </c>
      <c r="F110" s="115"/>
      <c r="G110" s="117"/>
      <c r="H110" s="118"/>
      <c r="I110" s="123"/>
      <c r="K110" s="84"/>
    </row>
    <row r="111" spans="1:11" s="16" customFormat="1" ht="10.5" customHeight="1">
      <c r="A111" s="113" t="s">
        <v>443</v>
      </c>
      <c r="B111" s="103" t="s">
        <v>348</v>
      </c>
      <c r="C111" s="114">
        <v>250</v>
      </c>
      <c r="D111" s="115" t="s">
        <v>469</v>
      </c>
      <c r="E111" s="116">
        <f>4.46-1.16</f>
        <v>3.3</v>
      </c>
      <c r="F111" s="115"/>
      <c r="G111" s="117"/>
      <c r="H111" s="118"/>
      <c r="I111" s="119">
        <v>1.16</v>
      </c>
      <c r="J111" s="16" t="s">
        <v>390</v>
      </c>
      <c r="K111" s="84"/>
    </row>
    <row r="112" spans="1:11" s="16" customFormat="1" ht="10.5" customHeight="1">
      <c r="A112" s="113" t="s">
        <v>450</v>
      </c>
      <c r="B112" s="103" t="s">
        <v>364</v>
      </c>
      <c r="C112" s="114" t="s">
        <v>470</v>
      </c>
      <c r="D112" s="115"/>
      <c r="E112" s="120"/>
      <c r="F112" s="115"/>
      <c r="G112" s="117"/>
      <c r="H112" s="121">
        <v>1</v>
      </c>
      <c r="I112" s="119"/>
      <c r="K112" s="84"/>
    </row>
    <row r="113" spans="1:11" s="16" customFormat="1" ht="10.5" customHeight="1">
      <c r="A113" s="113" t="s">
        <v>450</v>
      </c>
      <c r="B113" s="103" t="s">
        <v>364</v>
      </c>
      <c r="C113" s="114" t="s">
        <v>471</v>
      </c>
      <c r="D113" s="115"/>
      <c r="E113" s="120"/>
      <c r="F113" s="115"/>
      <c r="G113" s="117"/>
      <c r="H113" s="121">
        <v>2</v>
      </c>
      <c r="I113" s="119"/>
      <c r="K113" s="84"/>
    </row>
    <row r="114" spans="1:11" s="16" customFormat="1" ht="10.5" customHeight="1">
      <c r="A114" s="113" t="s">
        <v>450</v>
      </c>
      <c r="B114" s="103" t="s">
        <v>364</v>
      </c>
      <c r="C114" s="114" t="s">
        <v>472</v>
      </c>
      <c r="D114" s="115"/>
      <c r="E114" s="120"/>
      <c r="F114" s="115"/>
      <c r="G114" s="117"/>
      <c r="H114" s="121">
        <v>2</v>
      </c>
      <c r="I114" s="119"/>
      <c r="K114" s="84"/>
    </row>
    <row r="115" spans="1:11" s="16" customFormat="1" ht="10.5" customHeight="1">
      <c r="A115" s="113" t="s">
        <v>450</v>
      </c>
      <c r="B115" s="103" t="s">
        <v>364</v>
      </c>
      <c r="C115" s="114" t="s">
        <v>427</v>
      </c>
      <c r="D115" s="115"/>
      <c r="E115" s="120"/>
      <c r="F115" s="115"/>
      <c r="G115" s="117"/>
      <c r="H115" s="121">
        <v>1</v>
      </c>
      <c r="I115" s="119"/>
      <c r="K115" s="84"/>
    </row>
    <row r="116" spans="1:11" s="16" customFormat="1" ht="10.5" customHeight="1">
      <c r="A116" s="113" t="s">
        <v>450</v>
      </c>
      <c r="B116" s="103" t="s">
        <v>364</v>
      </c>
      <c r="C116" s="114" t="s">
        <v>473</v>
      </c>
      <c r="D116" s="115"/>
      <c r="E116" s="120"/>
      <c r="F116" s="115"/>
      <c r="G116" s="117"/>
      <c r="H116" s="121">
        <v>2</v>
      </c>
      <c r="I116" s="119"/>
      <c r="K116" s="84"/>
    </row>
    <row r="117" spans="1:11" s="16" customFormat="1" ht="10.5" customHeight="1">
      <c r="A117" s="113" t="s">
        <v>450</v>
      </c>
      <c r="B117" s="103" t="s">
        <v>364</v>
      </c>
      <c r="C117" s="114" t="s">
        <v>365</v>
      </c>
      <c r="D117" s="115"/>
      <c r="E117" s="120"/>
      <c r="F117" s="115"/>
      <c r="G117" s="117"/>
      <c r="H117" s="121">
        <v>1</v>
      </c>
      <c r="I117" s="119"/>
      <c r="K117" s="84"/>
    </row>
    <row r="118" spans="1:11" s="16" customFormat="1" ht="10.5" customHeight="1">
      <c r="A118" s="113" t="s">
        <v>450</v>
      </c>
      <c r="B118" s="103" t="s">
        <v>364</v>
      </c>
      <c r="C118" s="114" t="s">
        <v>428</v>
      </c>
      <c r="D118" s="115"/>
      <c r="E118" s="120"/>
      <c r="F118" s="115"/>
      <c r="G118" s="117"/>
      <c r="H118" s="121">
        <v>1</v>
      </c>
      <c r="I118" s="119"/>
      <c r="K118" s="84"/>
    </row>
    <row r="119" spans="1:11" s="16" customFormat="1" ht="10.5" customHeight="1">
      <c r="A119" s="113" t="s">
        <v>474</v>
      </c>
      <c r="B119" s="103" t="s">
        <v>348</v>
      </c>
      <c r="C119" s="114">
        <v>50</v>
      </c>
      <c r="D119" s="115" t="s">
        <v>475</v>
      </c>
      <c r="E119" s="116">
        <f>1.7-0.056-0.3</f>
        <v>1.3439999999999999</v>
      </c>
      <c r="F119" s="115"/>
      <c r="G119" s="117"/>
      <c r="H119" s="118"/>
      <c r="I119" s="119"/>
      <c r="K119" s="84"/>
    </row>
    <row r="120" spans="1:11" s="16" customFormat="1" ht="10.5" customHeight="1">
      <c r="A120" s="113" t="s">
        <v>474</v>
      </c>
      <c r="B120" s="103" t="s">
        <v>348</v>
      </c>
      <c r="C120" s="114">
        <v>60</v>
      </c>
      <c r="D120" s="115" t="s">
        <v>476</v>
      </c>
      <c r="E120" s="116">
        <f>1.346-0.71-0.064</f>
        <v>0.5720000000000001</v>
      </c>
      <c r="F120" s="115"/>
      <c r="G120" s="117"/>
      <c r="H120" s="121">
        <v>1</v>
      </c>
      <c r="I120" s="119"/>
      <c r="K120" s="84"/>
    </row>
    <row r="121" spans="1:11" s="16" customFormat="1" ht="10.5" customHeight="1">
      <c r="A121" s="113" t="s">
        <v>474</v>
      </c>
      <c r="B121" s="103" t="s">
        <v>348</v>
      </c>
      <c r="C121" s="114" t="s">
        <v>477</v>
      </c>
      <c r="D121" s="115"/>
      <c r="E121" s="116"/>
      <c r="F121" s="115"/>
      <c r="G121" s="117"/>
      <c r="H121" s="121">
        <v>1</v>
      </c>
      <c r="I121" s="119"/>
      <c r="K121" s="84"/>
    </row>
    <row r="122" spans="1:11" s="16" customFormat="1" ht="10.5" customHeight="1">
      <c r="A122" s="113" t="s">
        <v>474</v>
      </c>
      <c r="B122" s="103" t="s">
        <v>348</v>
      </c>
      <c r="C122" s="114">
        <v>80</v>
      </c>
      <c r="D122" s="115" t="s">
        <v>478</v>
      </c>
      <c r="E122" s="116">
        <f>1.29-0.18-0.14-0.02</f>
        <v>0.9500000000000001</v>
      </c>
      <c r="F122" s="115"/>
      <c r="G122" s="117"/>
      <c r="H122" s="125">
        <v>1.5</v>
      </c>
      <c r="I122" s="119"/>
      <c r="K122" s="85">
        <v>40603</v>
      </c>
    </row>
    <row r="123" spans="1:11" s="16" customFormat="1" ht="10.5" customHeight="1">
      <c r="A123" s="113" t="s">
        <v>474</v>
      </c>
      <c r="B123" s="103" t="s">
        <v>348</v>
      </c>
      <c r="C123" s="114">
        <v>90</v>
      </c>
      <c r="D123" s="115"/>
      <c r="E123" s="120"/>
      <c r="F123" s="115"/>
      <c r="G123" s="117"/>
      <c r="H123" s="125">
        <v>3</v>
      </c>
      <c r="I123" s="119"/>
      <c r="K123" s="85">
        <v>40603</v>
      </c>
    </row>
    <row r="124" spans="1:11" s="16" customFormat="1" ht="10.5" customHeight="1">
      <c r="A124" s="113" t="s">
        <v>474</v>
      </c>
      <c r="B124" s="103" t="s">
        <v>348</v>
      </c>
      <c r="C124" s="114">
        <v>100</v>
      </c>
      <c r="D124" s="115"/>
      <c r="E124" s="116"/>
      <c r="F124" s="115"/>
      <c r="G124" s="122"/>
      <c r="H124" s="125">
        <v>3</v>
      </c>
      <c r="I124" s="119"/>
      <c r="K124" s="85">
        <v>40631</v>
      </c>
    </row>
    <row r="125" spans="1:11" s="16" customFormat="1" ht="10.5" customHeight="1">
      <c r="A125" s="113" t="s">
        <v>474</v>
      </c>
      <c r="B125" s="103" t="s">
        <v>348</v>
      </c>
      <c r="C125" s="114">
        <v>105</v>
      </c>
      <c r="D125" s="115" t="s">
        <v>479</v>
      </c>
      <c r="E125" s="116">
        <f>1.4-0.088</f>
        <v>1.3119999999999998</v>
      </c>
      <c r="F125" s="115"/>
      <c r="G125" s="117"/>
      <c r="H125" s="118"/>
      <c r="I125" s="119"/>
      <c r="K125" s="84"/>
    </row>
    <row r="126" spans="1:11" s="16" customFormat="1" ht="10.5" customHeight="1">
      <c r="A126" s="113" t="s">
        <v>474</v>
      </c>
      <c r="B126" s="103" t="s">
        <v>348</v>
      </c>
      <c r="C126" s="114">
        <v>110</v>
      </c>
      <c r="D126" s="115" t="s">
        <v>480</v>
      </c>
      <c r="E126" s="116">
        <f>1.36+0.37-0.348</f>
        <v>1.3820000000000001</v>
      </c>
      <c r="F126" s="115"/>
      <c r="G126" s="117"/>
      <c r="H126" s="118"/>
      <c r="I126" s="119"/>
      <c r="K126" s="84"/>
    </row>
    <row r="127" spans="1:11" s="16" customFormat="1" ht="10.5" customHeight="1">
      <c r="A127" s="113" t="s">
        <v>474</v>
      </c>
      <c r="B127" s="103" t="s">
        <v>348</v>
      </c>
      <c r="C127" s="114">
        <v>120</v>
      </c>
      <c r="D127" s="115" t="s">
        <v>481</v>
      </c>
      <c r="E127" s="116">
        <f>5.17-0.018</f>
        <v>5.152</v>
      </c>
      <c r="F127" s="115"/>
      <c r="G127" s="117"/>
      <c r="H127" s="118"/>
      <c r="I127" s="123"/>
      <c r="K127" s="84"/>
    </row>
    <row r="128" spans="1:11" s="16" customFormat="1" ht="10.5" customHeight="1">
      <c r="A128" s="113" t="s">
        <v>474</v>
      </c>
      <c r="B128" s="103" t="s">
        <v>348</v>
      </c>
      <c r="C128" s="114" t="s">
        <v>381</v>
      </c>
      <c r="D128" s="115"/>
      <c r="E128" s="116">
        <f>1.27-0.42-0.45</f>
        <v>0.4000000000000001</v>
      </c>
      <c r="F128" s="115"/>
      <c r="G128" s="117"/>
      <c r="H128" s="118"/>
      <c r="I128" s="119"/>
      <c r="K128" s="84"/>
    </row>
    <row r="129" spans="1:11" s="16" customFormat="1" ht="10.5" customHeight="1">
      <c r="A129" s="113" t="s">
        <v>474</v>
      </c>
      <c r="B129" s="103" t="s">
        <v>348</v>
      </c>
      <c r="C129" s="114">
        <v>130</v>
      </c>
      <c r="D129" s="115"/>
      <c r="E129" s="116">
        <f>2.9-0.138-0.214-0.106-0.586-0.044-0.024-1.11</f>
        <v>0.6780000000000002</v>
      </c>
      <c r="F129" s="115"/>
      <c r="G129" s="117"/>
      <c r="H129" s="125">
        <v>3</v>
      </c>
      <c r="I129" s="119"/>
      <c r="K129" s="85">
        <v>40631</v>
      </c>
    </row>
    <row r="130" spans="1:11" s="16" customFormat="1" ht="10.5" customHeight="1">
      <c r="A130" s="113" t="s">
        <v>474</v>
      </c>
      <c r="B130" s="103" t="s">
        <v>348</v>
      </c>
      <c r="C130" s="114" t="s">
        <v>482</v>
      </c>
      <c r="D130" s="115" t="s">
        <v>483</v>
      </c>
      <c r="E130" s="116">
        <v>0.15</v>
      </c>
      <c r="F130" s="115"/>
      <c r="G130" s="117"/>
      <c r="H130" s="118"/>
      <c r="I130" s="119"/>
      <c r="K130" s="84"/>
    </row>
    <row r="131" spans="1:11" s="16" customFormat="1" ht="10.5" customHeight="1">
      <c r="A131" s="113" t="s">
        <v>474</v>
      </c>
      <c r="B131" s="103" t="s">
        <v>348</v>
      </c>
      <c r="C131" s="114">
        <v>140</v>
      </c>
      <c r="D131" s="115" t="s">
        <v>484</v>
      </c>
      <c r="E131" s="116">
        <f>4.55-0.062-0.41-0.18-0.41-0.41-0.44-0.122-0.122</f>
        <v>2.3939999999999992</v>
      </c>
      <c r="F131" s="115"/>
      <c r="G131" s="117"/>
      <c r="H131" s="118"/>
      <c r="I131" s="119"/>
      <c r="K131" s="84"/>
    </row>
    <row r="132" spans="1:11" s="16" customFormat="1" ht="10.5" customHeight="1">
      <c r="A132" s="113" t="s">
        <v>474</v>
      </c>
      <c r="B132" s="103" t="s">
        <v>348</v>
      </c>
      <c r="C132" s="114">
        <v>150</v>
      </c>
      <c r="D132" s="115" t="s">
        <v>485</v>
      </c>
      <c r="E132" s="116">
        <f>0.2+2.81-1.704+1.69-0.072-0.496-0.21+4.07-0.076-0.218-0.544-0.504-0.5</f>
        <v>4.4460000000000015</v>
      </c>
      <c r="F132" s="115"/>
      <c r="G132" s="117"/>
      <c r="H132" s="118">
        <v>1.48</v>
      </c>
      <c r="I132" s="119"/>
      <c r="K132" s="84"/>
    </row>
    <row r="133" spans="1:11" s="16" customFormat="1" ht="10.5" customHeight="1">
      <c r="A133" s="113" t="s">
        <v>474</v>
      </c>
      <c r="B133" s="103" t="s">
        <v>348</v>
      </c>
      <c r="C133" s="114">
        <v>160</v>
      </c>
      <c r="D133" s="115" t="s">
        <v>486</v>
      </c>
      <c r="E133" s="116">
        <f>1.74-0.308-0.546-0.036+4.08</f>
        <v>4.93</v>
      </c>
      <c r="F133" s="115"/>
      <c r="G133" s="117"/>
      <c r="H133" s="118"/>
      <c r="I133" s="119"/>
      <c r="K133" s="84"/>
    </row>
    <row r="134" spans="1:11" s="16" customFormat="1" ht="10.5" customHeight="1">
      <c r="A134" s="113" t="s">
        <v>474</v>
      </c>
      <c r="B134" s="103" t="s">
        <v>348</v>
      </c>
      <c r="C134" s="114">
        <v>170</v>
      </c>
      <c r="D134" s="115"/>
      <c r="E134" s="116">
        <f>4.29-0.54-1.07-1.62+2.19-0.268-0.11-0.54-1.116</f>
        <v>1.2159999999999993</v>
      </c>
      <c r="F134" s="115"/>
      <c r="G134" s="117"/>
      <c r="H134" s="125">
        <v>4.24</v>
      </c>
      <c r="I134" s="119"/>
      <c r="K134" s="85">
        <v>40590</v>
      </c>
    </row>
    <row r="135" spans="1:11" s="16" customFormat="1" ht="10.5" customHeight="1">
      <c r="A135" s="113" t="s">
        <v>474</v>
      </c>
      <c r="B135" s="103" t="s">
        <v>348</v>
      </c>
      <c r="C135" s="114" t="s">
        <v>487</v>
      </c>
      <c r="D135" s="115" t="s">
        <v>488</v>
      </c>
      <c r="E135" s="116">
        <f>0.708-0.124</f>
        <v>0.584</v>
      </c>
      <c r="F135" s="115"/>
      <c r="G135" s="117"/>
      <c r="H135" s="118"/>
      <c r="I135" s="119"/>
      <c r="K135" s="84"/>
    </row>
    <row r="136" spans="1:11" s="16" customFormat="1" ht="10.5" customHeight="1">
      <c r="A136" s="113" t="s">
        <v>474</v>
      </c>
      <c r="B136" s="103" t="s">
        <v>348</v>
      </c>
      <c r="C136" s="114">
        <v>180</v>
      </c>
      <c r="D136" s="115" t="s">
        <v>489</v>
      </c>
      <c r="E136" s="116">
        <f>3.73+1.05-0.526-0.524-0.524-0.53</f>
        <v>2.676</v>
      </c>
      <c r="F136" s="115"/>
      <c r="G136" s="117"/>
      <c r="H136" s="118">
        <v>1.02</v>
      </c>
      <c r="I136" s="123"/>
      <c r="K136" s="84"/>
    </row>
    <row r="137" spans="1:11" s="16" customFormat="1" ht="10.5" customHeight="1">
      <c r="A137" s="113" t="s">
        <v>474</v>
      </c>
      <c r="B137" s="103" t="s">
        <v>348</v>
      </c>
      <c r="C137" s="114" t="s">
        <v>490</v>
      </c>
      <c r="D137" s="115"/>
      <c r="E137" s="116">
        <f>0.872-0.454-0.186</f>
        <v>0.23199999999999998</v>
      </c>
      <c r="F137" s="115"/>
      <c r="G137" s="117"/>
      <c r="H137" s="118"/>
      <c r="I137" s="119"/>
      <c r="K137" s="84"/>
    </row>
    <row r="138" spans="1:11" s="16" customFormat="1" ht="10.5" customHeight="1">
      <c r="A138" s="113" t="s">
        <v>474</v>
      </c>
      <c r="B138" s="103" t="s">
        <v>348</v>
      </c>
      <c r="C138" s="114">
        <v>190</v>
      </c>
      <c r="D138" s="115"/>
      <c r="E138" s="116"/>
      <c r="F138" s="115"/>
      <c r="G138" s="117"/>
      <c r="H138" s="125">
        <v>3.72</v>
      </c>
      <c r="I138" s="123"/>
      <c r="J138" s="87"/>
      <c r="K138" s="85">
        <v>40590</v>
      </c>
    </row>
    <row r="139" spans="1:11" s="16" customFormat="1" ht="10.5" customHeight="1">
      <c r="A139" s="113" t="s">
        <v>474</v>
      </c>
      <c r="B139" s="103" t="s">
        <v>348</v>
      </c>
      <c r="C139" s="114" t="s">
        <v>491</v>
      </c>
      <c r="D139" s="115" t="s">
        <v>492</v>
      </c>
      <c r="E139" s="116">
        <f>0.738-0.374</f>
        <v>0.364</v>
      </c>
      <c r="F139" s="115"/>
      <c r="G139" s="117"/>
      <c r="H139" s="118"/>
      <c r="I139" s="119"/>
      <c r="K139" s="84"/>
    </row>
    <row r="140" spans="1:11" s="16" customFormat="1" ht="10.5" customHeight="1">
      <c r="A140" s="113" t="s">
        <v>474</v>
      </c>
      <c r="B140" s="103" t="s">
        <v>348</v>
      </c>
      <c r="C140" s="114">
        <v>200</v>
      </c>
      <c r="D140" s="115" t="s">
        <v>493</v>
      </c>
      <c r="E140" s="124">
        <v>5.32</v>
      </c>
      <c r="F140" s="115"/>
      <c r="G140" s="117"/>
      <c r="H140" s="125"/>
      <c r="I140" s="119"/>
      <c r="K140" s="85"/>
    </row>
    <row r="141" spans="1:11" s="16" customFormat="1" ht="10.5" customHeight="1">
      <c r="A141" s="113" t="s">
        <v>474</v>
      </c>
      <c r="B141" s="103" t="s">
        <v>348</v>
      </c>
      <c r="C141" s="114">
        <v>210</v>
      </c>
      <c r="D141" s="115" t="s">
        <v>494</v>
      </c>
      <c r="E141" s="124">
        <v>3.97</v>
      </c>
      <c r="F141" s="115"/>
      <c r="G141" s="117"/>
      <c r="H141" s="125"/>
      <c r="I141" s="119"/>
      <c r="K141" s="85"/>
    </row>
    <row r="142" spans="1:11" s="16" customFormat="1" ht="10.5" customHeight="1">
      <c r="A142" s="113" t="s">
        <v>474</v>
      </c>
      <c r="B142" s="103" t="s">
        <v>348</v>
      </c>
      <c r="C142" s="114">
        <v>220</v>
      </c>
      <c r="D142" s="115" t="s">
        <v>495</v>
      </c>
      <c r="E142" s="116">
        <f>3.93-0.502-1.078-0.094-0.02-0.428</f>
        <v>1.8079999999999998</v>
      </c>
      <c r="F142" s="115"/>
      <c r="G142" s="117"/>
      <c r="H142" s="125">
        <v>3.87</v>
      </c>
      <c r="I142" s="119"/>
      <c r="K142" s="85">
        <v>40590</v>
      </c>
    </row>
    <row r="143" spans="1:11" s="16" customFormat="1" ht="10.5" customHeight="1">
      <c r="A143" s="113" t="s">
        <v>474</v>
      </c>
      <c r="B143" s="103" t="s">
        <v>348</v>
      </c>
      <c r="C143" s="114">
        <v>230</v>
      </c>
      <c r="D143" s="115" t="s">
        <v>496</v>
      </c>
      <c r="E143" s="116">
        <f>3.454+0.852-0.17-0.682</f>
        <v>3.454</v>
      </c>
      <c r="F143" s="115"/>
      <c r="G143" s="117"/>
      <c r="H143" s="118"/>
      <c r="I143" s="119"/>
      <c r="K143" s="84"/>
    </row>
    <row r="144" spans="1:11" s="16" customFormat="1" ht="10.5" customHeight="1">
      <c r="A144" s="113" t="s">
        <v>474</v>
      </c>
      <c r="B144" s="103" t="s">
        <v>348</v>
      </c>
      <c r="C144" s="114" t="s">
        <v>497</v>
      </c>
      <c r="D144" s="115"/>
      <c r="E144" s="116"/>
      <c r="F144" s="115" t="s">
        <v>498</v>
      </c>
      <c r="G144" s="122">
        <v>1.166</v>
      </c>
      <c r="H144" s="118"/>
      <c r="I144" s="119"/>
      <c r="K144" s="84"/>
    </row>
    <row r="145" spans="1:11" s="16" customFormat="1" ht="10.5" customHeight="1">
      <c r="A145" s="113" t="s">
        <v>474</v>
      </c>
      <c r="B145" s="103" t="s">
        <v>348</v>
      </c>
      <c r="C145" s="114">
        <v>240</v>
      </c>
      <c r="D145" s="115" t="s">
        <v>499</v>
      </c>
      <c r="E145" s="116">
        <v>4.29</v>
      </c>
      <c r="F145" s="115"/>
      <c r="G145" s="117"/>
      <c r="H145" s="118"/>
      <c r="I145" s="119"/>
      <c r="K145" s="84"/>
    </row>
    <row r="146" spans="1:11" s="16" customFormat="1" ht="10.5" customHeight="1">
      <c r="A146" s="113" t="s">
        <v>474</v>
      </c>
      <c r="B146" s="103" t="s">
        <v>348</v>
      </c>
      <c r="C146" s="114">
        <v>250</v>
      </c>
      <c r="D146" s="115"/>
      <c r="E146" s="116"/>
      <c r="F146" s="115" t="s">
        <v>492</v>
      </c>
      <c r="G146" s="122">
        <v>0.586</v>
      </c>
      <c r="H146" s="118"/>
      <c r="I146" s="119"/>
      <c r="K146" s="84"/>
    </row>
    <row r="147" spans="1:11" s="16" customFormat="1" ht="10.5" customHeight="1">
      <c r="A147" s="113" t="s">
        <v>474</v>
      </c>
      <c r="B147" s="103" t="s">
        <v>348</v>
      </c>
      <c r="C147" s="114" t="s">
        <v>500</v>
      </c>
      <c r="D147" s="115" t="s">
        <v>501</v>
      </c>
      <c r="E147" s="116">
        <v>1.496</v>
      </c>
      <c r="F147" s="115"/>
      <c r="G147" s="117"/>
      <c r="H147" s="118"/>
      <c r="I147" s="123"/>
      <c r="K147" s="84"/>
    </row>
    <row r="148" spans="1:11" s="16" customFormat="1" ht="10.5" customHeight="1">
      <c r="A148" s="113" t="s">
        <v>474</v>
      </c>
      <c r="B148" s="103" t="s">
        <v>348</v>
      </c>
      <c r="C148" s="114" t="s">
        <v>502</v>
      </c>
      <c r="D148" s="115"/>
      <c r="E148" s="116"/>
      <c r="F148" s="115" t="s">
        <v>503</v>
      </c>
      <c r="G148" s="117">
        <v>0.225</v>
      </c>
      <c r="H148" s="118"/>
      <c r="I148" s="119"/>
      <c r="K148" s="84"/>
    </row>
    <row r="149" spans="1:11" s="16" customFormat="1" ht="10.5" customHeight="1">
      <c r="A149" s="113" t="s">
        <v>474</v>
      </c>
      <c r="B149" s="103" t="s">
        <v>348</v>
      </c>
      <c r="C149" s="114">
        <v>280</v>
      </c>
      <c r="D149" s="115" t="s">
        <v>504</v>
      </c>
      <c r="E149" s="116">
        <f>4.76-1.586</f>
        <v>3.1739999999999995</v>
      </c>
      <c r="F149" s="115"/>
      <c r="G149" s="122"/>
      <c r="H149" s="118"/>
      <c r="I149" s="123"/>
      <c r="K149" s="84"/>
    </row>
    <row r="150" spans="1:11" s="16" customFormat="1" ht="10.5" customHeight="1">
      <c r="A150" s="113" t="s">
        <v>474</v>
      </c>
      <c r="B150" s="103" t="s">
        <v>348</v>
      </c>
      <c r="C150" s="114" t="s">
        <v>505</v>
      </c>
      <c r="D150" s="115" t="s">
        <v>447</v>
      </c>
      <c r="E150" s="116">
        <f>2.7+2.34+0.782+2.3-1.1</f>
        <v>7.022</v>
      </c>
      <c r="F150" s="115"/>
      <c r="G150" s="122"/>
      <c r="H150" s="118"/>
      <c r="I150" s="119"/>
      <c r="K150" s="84"/>
    </row>
    <row r="151" spans="1:11" s="16" customFormat="1" ht="10.5" customHeight="1">
      <c r="A151" s="113" t="s">
        <v>474</v>
      </c>
      <c r="B151" s="103" t="s">
        <v>348</v>
      </c>
      <c r="C151" s="114" t="s">
        <v>506</v>
      </c>
      <c r="D151" s="115"/>
      <c r="E151" s="116"/>
      <c r="F151" s="115"/>
      <c r="G151" s="122"/>
      <c r="H151" s="118">
        <v>3</v>
      </c>
      <c r="I151" s="119"/>
      <c r="K151" s="84">
        <v>40634</v>
      </c>
    </row>
    <row r="152" spans="1:11" s="16" customFormat="1" ht="10.5" customHeight="1">
      <c r="A152" s="113" t="s">
        <v>474</v>
      </c>
      <c r="B152" s="103" t="s">
        <v>348</v>
      </c>
      <c r="C152" s="114" t="s">
        <v>507</v>
      </c>
      <c r="D152" s="115" t="s">
        <v>508</v>
      </c>
      <c r="E152" s="116">
        <f>1.29+1.092-1.29</f>
        <v>1.092</v>
      </c>
      <c r="F152" s="115"/>
      <c r="G152" s="117"/>
      <c r="H152" s="118">
        <v>3</v>
      </c>
      <c r="I152" s="119"/>
      <c r="K152" s="84">
        <v>40634</v>
      </c>
    </row>
    <row r="153" spans="1:11" s="16" customFormat="1" ht="10.5" customHeight="1">
      <c r="A153" s="113" t="s">
        <v>474</v>
      </c>
      <c r="B153" s="103" t="s">
        <v>348</v>
      </c>
      <c r="C153" s="114" t="s">
        <v>509</v>
      </c>
      <c r="D153" s="115" t="s">
        <v>510</v>
      </c>
      <c r="E153" s="116">
        <v>0.838</v>
      </c>
      <c r="F153" s="115"/>
      <c r="G153" s="117"/>
      <c r="H153" s="118"/>
      <c r="I153" s="119"/>
      <c r="K153" s="84"/>
    </row>
    <row r="154" spans="1:11" s="16" customFormat="1" ht="10.5" customHeight="1">
      <c r="A154" s="113" t="s">
        <v>474</v>
      </c>
      <c r="B154" s="103" t="s">
        <v>348</v>
      </c>
      <c r="C154" s="114" t="s">
        <v>511</v>
      </c>
      <c r="D154" s="115"/>
      <c r="E154" s="116"/>
      <c r="F154" s="115"/>
      <c r="G154" s="122"/>
      <c r="H154" s="118">
        <v>3</v>
      </c>
      <c r="I154" s="119"/>
      <c r="K154" s="84">
        <v>40634</v>
      </c>
    </row>
    <row r="155" spans="1:11" s="16" customFormat="1" ht="10.5" customHeight="1">
      <c r="A155" s="113" t="s">
        <v>474</v>
      </c>
      <c r="B155" s="103" t="s">
        <v>348</v>
      </c>
      <c r="C155" s="114" t="s">
        <v>512</v>
      </c>
      <c r="D155" s="115"/>
      <c r="E155" s="116"/>
      <c r="F155" s="115"/>
      <c r="G155" s="122"/>
      <c r="H155" s="118">
        <v>3</v>
      </c>
      <c r="I155" s="119"/>
      <c r="K155" s="84">
        <v>40634</v>
      </c>
    </row>
    <row r="156" spans="1:11" s="16" customFormat="1" ht="10.5" customHeight="1">
      <c r="A156" s="113" t="s">
        <v>474</v>
      </c>
      <c r="B156" s="103" t="s">
        <v>348</v>
      </c>
      <c r="C156" s="114" t="s">
        <v>391</v>
      </c>
      <c r="D156" s="115"/>
      <c r="E156" s="116"/>
      <c r="F156" s="115"/>
      <c r="G156" s="122"/>
      <c r="H156" s="118">
        <v>3</v>
      </c>
      <c r="I156" s="119"/>
      <c r="K156" s="84">
        <v>40634</v>
      </c>
    </row>
    <row r="157" spans="1:11" s="16" customFormat="1" ht="10.5" customHeight="1">
      <c r="A157" s="113" t="s">
        <v>474</v>
      </c>
      <c r="B157" s="103" t="s">
        <v>348</v>
      </c>
      <c r="C157" s="114" t="s">
        <v>513</v>
      </c>
      <c r="D157" s="115"/>
      <c r="E157" s="116"/>
      <c r="F157" s="115"/>
      <c r="G157" s="122"/>
      <c r="H157" s="118">
        <v>3</v>
      </c>
      <c r="I157" s="119"/>
      <c r="K157" s="84">
        <v>40634</v>
      </c>
    </row>
    <row r="158" spans="1:11" s="16" customFormat="1" ht="10.5" customHeight="1">
      <c r="A158" s="113" t="s">
        <v>474</v>
      </c>
      <c r="B158" s="103" t="s">
        <v>348</v>
      </c>
      <c r="C158" s="114" t="s">
        <v>514</v>
      </c>
      <c r="D158" s="115"/>
      <c r="E158" s="116"/>
      <c r="F158" s="115" t="s">
        <v>515</v>
      </c>
      <c r="G158" s="117">
        <v>0.24</v>
      </c>
      <c r="H158" s="118"/>
      <c r="I158" s="119"/>
      <c r="K158" s="84"/>
    </row>
    <row r="159" spans="1:11" s="16" customFormat="1" ht="10.5" customHeight="1">
      <c r="A159" s="113" t="s">
        <v>474</v>
      </c>
      <c r="B159" s="103" t="s">
        <v>348</v>
      </c>
      <c r="C159" s="114" t="s">
        <v>516</v>
      </c>
      <c r="D159" s="115"/>
      <c r="E159" s="116"/>
      <c r="F159" s="115" t="s">
        <v>517</v>
      </c>
      <c r="G159" s="117">
        <v>0.24</v>
      </c>
      <c r="H159" s="118"/>
      <c r="I159" s="119"/>
      <c r="K159" s="84"/>
    </row>
    <row r="160" spans="1:11" s="16" customFormat="1" ht="10.5" customHeight="1">
      <c r="A160" s="113" t="s">
        <v>474</v>
      </c>
      <c r="B160" s="103" t="s">
        <v>348</v>
      </c>
      <c r="C160" s="114" t="s">
        <v>518</v>
      </c>
      <c r="D160" s="115" t="s">
        <v>519</v>
      </c>
      <c r="E160" s="116">
        <v>2.436</v>
      </c>
      <c r="F160" s="115"/>
      <c r="G160" s="117"/>
      <c r="H160" s="118"/>
      <c r="I160" s="119"/>
      <c r="K160" s="84"/>
    </row>
    <row r="161" spans="1:11" s="16" customFormat="1" ht="10.5" customHeight="1">
      <c r="A161" s="113" t="s">
        <v>474</v>
      </c>
      <c r="B161" s="103" t="s">
        <v>348</v>
      </c>
      <c r="C161" s="114" t="s">
        <v>520</v>
      </c>
      <c r="D161" s="115" t="s">
        <v>521</v>
      </c>
      <c r="E161" s="116">
        <f>0.56+0.565+0.555</f>
        <v>1.6800000000000002</v>
      </c>
      <c r="F161" s="115"/>
      <c r="G161" s="117"/>
      <c r="H161" s="118"/>
      <c r="I161" s="119"/>
      <c r="K161" s="84"/>
    </row>
    <row r="162" spans="1:11" s="16" customFormat="1" ht="10.5" customHeight="1">
      <c r="A162" s="113" t="s">
        <v>474</v>
      </c>
      <c r="B162" s="103" t="s">
        <v>348</v>
      </c>
      <c r="C162" s="114" t="s">
        <v>522</v>
      </c>
      <c r="D162" s="115" t="s">
        <v>523</v>
      </c>
      <c r="E162" s="116">
        <f>0.88+0.83</f>
        <v>1.71</v>
      </c>
      <c r="F162" s="115"/>
      <c r="G162" s="117"/>
      <c r="H162" s="118"/>
      <c r="I162" s="119"/>
      <c r="K162" s="84"/>
    </row>
    <row r="163" spans="1:11" s="16" customFormat="1" ht="10.5" customHeight="1">
      <c r="A163" s="113" t="s">
        <v>474</v>
      </c>
      <c r="B163" s="103" t="s">
        <v>348</v>
      </c>
      <c r="C163" s="114" t="s">
        <v>524</v>
      </c>
      <c r="D163" s="115" t="s">
        <v>525</v>
      </c>
      <c r="E163" s="116">
        <v>1.01</v>
      </c>
      <c r="F163" s="115"/>
      <c r="G163" s="117"/>
      <c r="H163" s="118"/>
      <c r="I163" s="119"/>
      <c r="K163" s="84"/>
    </row>
    <row r="164" spans="1:11" s="16" customFormat="1" ht="10.5" customHeight="1">
      <c r="A164" s="113" t="s">
        <v>474</v>
      </c>
      <c r="B164" s="103" t="s">
        <v>348</v>
      </c>
      <c r="C164" s="114" t="s">
        <v>526</v>
      </c>
      <c r="D164" s="115" t="s">
        <v>527</v>
      </c>
      <c r="E164" s="116">
        <v>1.12</v>
      </c>
      <c r="F164" s="115"/>
      <c r="G164" s="117"/>
      <c r="H164" s="118"/>
      <c r="I164" s="119"/>
      <c r="K164" s="84"/>
    </row>
    <row r="165" spans="1:11" s="16" customFormat="1" ht="10.5" customHeight="1">
      <c r="A165" s="113" t="s">
        <v>474</v>
      </c>
      <c r="B165" s="103" t="s">
        <v>348</v>
      </c>
      <c r="C165" s="114" t="s">
        <v>528</v>
      </c>
      <c r="D165" s="115" t="s">
        <v>529</v>
      </c>
      <c r="E165" s="116">
        <f>0.6+0.97</f>
        <v>1.5699999999999998</v>
      </c>
      <c r="F165" s="115"/>
      <c r="G165" s="117"/>
      <c r="H165" s="118"/>
      <c r="I165" s="119"/>
      <c r="K165" s="84"/>
    </row>
    <row r="166" spans="1:11" s="16" customFormat="1" ht="10.5" customHeight="1">
      <c r="A166" s="113" t="s">
        <v>474</v>
      </c>
      <c r="B166" s="103" t="s">
        <v>348</v>
      </c>
      <c r="C166" s="114" t="s">
        <v>530</v>
      </c>
      <c r="D166" s="115" t="s">
        <v>531</v>
      </c>
      <c r="E166" s="116">
        <f>2.71+2.625+2.66+2.64</f>
        <v>10.635</v>
      </c>
      <c r="F166" s="115"/>
      <c r="G166" s="117"/>
      <c r="H166" s="118"/>
      <c r="I166" s="119"/>
      <c r="K166" s="84"/>
    </row>
    <row r="167" spans="1:11" s="16" customFormat="1" ht="10.5" customHeight="1">
      <c r="A167" s="113" t="s">
        <v>474</v>
      </c>
      <c r="B167" s="103" t="s">
        <v>348</v>
      </c>
      <c r="C167" s="114" t="s">
        <v>532</v>
      </c>
      <c r="D167" s="115" t="s">
        <v>533</v>
      </c>
      <c r="E167" s="116">
        <v>2.69</v>
      </c>
      <c r="F167" s="115"/>
      <c r="G167" s="117"/>
      <c r="H167" s="118"/>
      <c r="I167" s="119"/>
      <c r="K167" s="84"/>
    </row>
    <row r="168" spans="1:11" s="16" customFormat="1" ht="10.5" customHeight="1">
      <c r="A168" s="113" t="s">
        <v>474</v>
      </c>
      <c r="B168" s="103" t="s">
        <v>348</v>
      </c>
      <c r="C168" s="114" t="s">
        <v>534</v>
      </c>
      <c r="D168" s="115" t="s">
        <v>421</v>
      </c>
      <c r="E168" s="116">
        <v>3.01</v>
      </c>
      <c r="F168" s="115"/>
      <c r="G168" s="117"/>
      <c r="H168" s="118"/>
      <c r="I168" s="119"/>
      <c r="K168" s="84"/>
    </row>
    <row r="169" spans="1:11" s="16" customFormat="1" ht="10.5" customHeight="1">
      <c r="A169" s="113" t="s">
        <v>474</v>
      </c>
      <c r="B169" s="103" t="s">
        <v>348</v>
      </c>
      <c r="C169" s="114" t="s">
        <v>535</v>
      </c>
      <c r="D169" s="115" t="s">
        <v>536</v>
      </c>
      <c r="E169" s="116">
        <f>3.09+6.76</f>
        <v>9.85</v>
      </c>
      <c r="F169" s="115"/>
      <c r="G169" s="117"/>
      <c r="H169" s="118"/>
      <c r="I169" s="119"/>
      <c r="K169" s="84"/>
    </row>
    <row r="170" spans="1:11" s="16" customFormat="1" ht="10.5" customHeight="1">
      <c r="A170" s="113" t="s">
        <v>474</v>
      </c>
      <c r="B170" s="103" t="s">
        <v>348</v>
      </c>
      <c r="C170" s="114" t="s">
        <v>537</v>
      </c>
      <c r="D170" s="115" t="s">
        <v>538</v>
      </c>
      <c r="E170" s="116">
        <v>3</v>
      </c>
      <c r="F170" s="115"/>
      <c r="G170" s="117"/>
      <c r="H170" s="118"/>
      <c r="I170" s="119"/>
      <c r="K170" s="84"/>
    </row>
    <row r="171" spans="1:11" s="16" customFormat="1" ht="10.5" customHeight="1">
      <c r="A171" s="113" t="s">
        <v>539</v>
      </c>
      <c r="B171" s="103" t="s">
        <v>348</v>
      </c>
      <c r="C171" s="114" t="s">
        <v>540</v>
      </c>
      <c r="D171" s="115" t="s">
        <v>541</v>
      </c>
      <c r="E171" s="116">
        <v>3.57</v>
      </c>
      <c r="F171" s="115"/>
      <c r="G171" s="117"/>
      <c r="H171" s="118"/>
      <c r="I171" s="119"/>
      <c r="K171" s="84"/>
    </row>
    <row r="172" spans="1:11" s="16" customFormat="1" ht="10.5" customHeight="1">
      <c r="A172" s="113" t="s">
        <v>539</v>
      </c>
      <c r="B172" s="103" t="s">
        <v>348</v>
      </c>
      <c r="C172" s="114" t="s">
        <v>542</v>
      </c>
      <c r="D172" s="115" t="s">
        <v>543</v>
      </c>
      <c r="E172" s="116">
        <v>4.5</v>
      </c>
      <c r="F172" s="115"/>
      <c r="G172" s="117"/>
      <c r="H172" s="118"/>
      <c r="I172" s="119"/>
      <c r="K172" s="84"/>
    </row>
    <row r="173" spans="1:11" s="16" customFormat="1" ht="10.5" customHeight="1">
      <c r="A173" s="113" t="s">
        <v>474</v>
      </c>
      <c r="B173" s="103" t="s">
        <v>370</v>
      </c>
      <c r="C173" s="114" t="s">
        <v>544</v>
      </c>
      <c r="D173" s="115"/>
      <c r="E173" s="116"/>
      <c r="F173" s="115"/>
      <c r="G173" s="117"/>
      <c r="H173" s="121">
        <v>2</v>
      </c>
      <c r="I173" s="119"/>
      <c r="K173" s="84"/>
    </row>
    <row r="174" spans="1:11" s="16" customFormat="1" ht="10.5" customHeight="1">
      <c r="A174" s="113" t="s">
        <v>474</v>
      </c>
      <c r="B174" s="103" t="s">
        <v>370</v>
      </c>
      <c r="C174" s="114" t="s">
        <v>439</v>
      </c>
      <c r="D174" s="115" t="s">
        <v>545</v>
      </c>
      <c r="E174" s="116">
        <f>0.748-0.16</f>
        <v>0.588</v>
      </c>
      <c r="F174" s="115" t="s">
        <v>546</v>
      </c>
      <c r="G174" s="117">
        <v>0.16</v>
      </c>
      <c r="H174" s="121">
        <v>2</v>
      </c>
      <c r="I174" s="119"/>
      <c r="K174" s="84"/>
    </row>
    <row r="175" spans="1:11" s="16" customFormat="1" ht="10.5" customHeight="1">
      <c r="A175" s="113" t="s">
        <v>474</v>
      </c>
      <c r="B175" s="103" t="s">
        <v>370</v>
      </c>
      <c r="C175" s="114" t="s">
        <v>547</v>
      </c>
      <c r="D175" s="115"/>
      <c r="E175" s="116"/>
      <c r="F175" s="115"/>
      <c r="G175" s="117"/>
      <c r="H175" s="121">
        <v>2</v>
      </c>
      <c r="I175" s="119"/>
      <c r="K175" s="84"/>
    </row>
    <row r="176" spans="1:11" s="16" customFormat="1" ht="10.5" customHeight="1">
      <c r="A176" s="113" t="s">
        <v>474</v>
      </c>
      <c r="B176" s="103" t="s">
        <v>399</v>
      </c>
      <c r="C176" s="114" t="s">
        <v>548</v>
      </c>
      <c r="D176" s="115" t="s">
        <v>549</v>
      </c>
      <c r="E176" s="116">
        <v>1.06</v>
      </c>
      <c r="F176" s="115" t="s">
        <v>550</v>
      </c>
      <c r="G176" s="117">
        <v>0.516</v>
      </c>
      <c r="H176" s="118"/>
      <c r="I176" s="119"/>
      <c r="K176" s="84"/>
    </row>
    <row r="177" spans="1:11" s="16" customFormat="1" ht="10.5" customHeight="1">
      <c r="A177" s="113" t="s">
        <v>474</v>
      </c>
      <c r="B177" s="103" t="s">
        <v>399</v>
      </c>
      <c r="C177" s="114" t="s">
        <v>551</v>
      </c>
      <c r="D177" s="115" t="s">
        <v>552</v>
      </c>
      <c r="E177" s="116">
        <v>0.602</v>
      </c>
      <c r="F177" s="115"/>
      <c r="G177" s="117"/>
      <c r="H177" s="118"/>
      <c r="I177" s="119"/>
      <c r="K177" s="84"/>
    </row>
    <row r="178" spans="1:11" s="16" customFormat="1" ht="10.5" customHeight="1">
      <c r="A178" s="113" t="s">
        <v>474</v>
      </c>
      <c r="B178" s="103" t="s">
        <v>399</v>
      </c>
      <c r="C178" s="114" t="s">
        <v>553</v>
      </c>
      <c r="D178" s="115"/>
      <c r="E178" s="116"/>
      <c r="F178" s="115" t="s">
        <v>554</v>
      </c>
      <c r="G178" s="117">
        <v>0.675</v>
      </c>
      <c r="H178" s="118"/>
      <c r="I178" s="119"/>
      <c r="K178" s="84"/>
    </row>
    <row r="179" spans="1:11" s="16" customFormat="1" ht="10.5" customHeight="1">
      <c r="A179" s="113" t="s">
        <v>474</v>
      </c>
      <c r="B179" s="103" t="s">
        <v>399</v>
      </c>
      <c r="C179" s="114" t="s">
        <v>555</v>
      </c>
      <c r="D179" s="115"/>
      <c r="E179" s="116"/>
      <c r="F179" s="115" t="s">
        <v>556</v>
      </c>
      <c r="G179" s="117">
        <v>0.51</v>
      </c>
      <c r="H179" s="118"/>
      <c r="I179" s="119"/>
      <c r="K179" s="84"/>
    </row>
    <row r="180" spans="1:11" s="16" customFormat="1" ht="10.5" customHeight="1">
      <c r="A180" s="113" t="s">
        <v>474</v>
      </c>
      <c r="B180" s="103" t="s">
        <v>399</v>
      </c>
      <c r="C180" s="114" t="s">
        <v>557</v>
      </c>
      <c r="D180" s="115" t="s">
        <v>456</v>
      </c>
      <c r="E180" s="116">
        <v>1.8</v>
      </c>
      <c r="F180" s="115"/>
      <c r="G180" s="117"/>
      <c r="H180" s="118"/>
      <c r="I180" s="119"/>
      <c r="K180" s="84"/>
    </row>
    <row r="181" spans="1:11" s="16" customFormat="1" ht="10.5" customHeight="1">
      <c r="A181" s="113" t="s">
        <v>474</v>
      </c>
      <c r="B181" s="103" t="s">
        <v>399</v>
      </c>
      <c r="C181" s="114" t="s">
        <v>558</v>
      </c>
      <c r="D181" s="115"/>
      <c r="E181" s="116"/>
      <c r="F181" s="115" t="s">
        <v>559</v>
      </c>
      <c r="G181" s="117">
        <v>0.88</v>
      </c>
      <c r="H181" s="118"/>
      <c r="I181" s="119"/>
      <c r="K181" s="84"/>
    </row>
    <row r="182" spans="1:11" s="16" customFormat="1" ht="10.5" customHeight="1">
      <c r="A182" s="113" t="s">
        <v>474</v>
      </c>
      <c r="B182" s="103" t="s">
        <v>364</v>
      </c>
      <c r="C182" s="114" t="s">
        <v>365</v>
      </c>
      <c r="D182" s="115"/>
      <c r="E182" s="120">
        <v>2.67</v>
      </c>
      <c r="F182" s="115"/>
      <c r="G182" s="117"/>
      <c r="H182" s="118"/>
      <c r="I182" s="119"/>
      <c r="K182" s="84"/>
    </row>
    <row r="183" spans="1:11" s="16" customFormat="1" ht="10.5" customHeight="1">
      <c r="A183" s="113" t="s">
        <v>474</v>
      </c>
      <c r="B183" s="103" t="s">
        <v>364</v>
      </c>
      <c r="C183" s="114" t="s">
        <v>428</v>
      </c>
      <c r="D183" s="115"/>
      <c r="E183" s="120">
        <v>3.13</v>
      </c>
      <c r="F183" s="115"/>
      <c r="G183" s="117"/>
      <c r="H183" s="118"/>
      <c r="I183" s="119"/>
      <c r="K183" s="84"/>
    </row>
    <row r="184" spans="1:11" s="16" customFormat="1" ht="10.5" customHeight="1">
      <c r="A184" s="113" t="s">
        <v>474</v>
      </c>
      <c r="B184" s="103" t="s">
        <v>560</v>
      </c>
      <c r="C184" s="114"/>
      <c r="D184" s="115"/>
      <c r="E184" s="116"/>
      <c r="F184" s="115"/>
      <c r="G184" s="117"/>
      <c r="H184" s="118"/>
      <c r="I184" s="119"/>
      <c r="K184" s="84"/>
    </row>
    <row r="185" spans="1:11" s="16" customFormat="1" ht="10.5" customHeight="1">
      <c r="A185" s="113" t="s">
        <v>474</v>
      </c>
      <c r="B185" s="103" t="s">
        <v>561</v>
      </c>
      <c r="C185" s="114" t="s">
        <v>562</v>
      </c>
      <c r="D185" s="115" t="s">
        <v>563</v>
      </c>
      <c r="E185" s="116">
        <f>0.091*15</f>
        <v>1.365</v>
      </c>
      <c r="F185" s="115"/>
      <c r="G185" s="117"/>
      <c r="H185" s="118"/>
      <c r="I185" s="119"/>
      <c r="K185" s="84"/>
    </row>
    <row r="186" spans="1:11" s="16" customFormat="1" ht="10.5" customHeight="1">
      <c r="A186" s="113" t="s">
        <v>474</v>
      </c>
      <c r="B186" s="103" t="s">
        <v>561</v>
      </c>
      <c r="C186" s="114" t="s">
        <v>564</v>
      </c>
      <c r="D186" s="115" t="s">
        <v>565</v>
      </c>
      <c r="E186" s="116">
        <f>0.129*10</f>
        <v>1.29</v>
      </c>
      <c r="F186" s="115"/>
      <c r="G186" s="117"/>
      <c r="H186" s="118"/>
      <c r="I186" s="119"/>
      <c r="K186" s="84"/>
    </row>
    <row r="187" spans="1:11" s="16" customFormat="1" ht="10.5" customHeight="1">
      <c r="A187" s="113" t="s">
        <v>474</v>
      </c>
      <c r="B187" s="103" t="s">
        <v>561</v>
      </c>
      <c r="C187" s="114" t="s">
        <v>566</v>
      </c>
      <c r="D187" s="115" t="s">
        <v>567</v>
      </c>
      <c r="E187" s="116">
        <v>0.46</v>
      </c>
      <c r="F187" s="115"/>
      <c r="G187" s="117"/>
      <c r="H187" s="118"/>
      <c r="I187" s="119"/>
      <c r="K187" s="84"/>
    </row>
    <row r="188" spans="1:11" s="16" customFormat="1" ht="10.5" customHeight="1">
      <c r="A188" s="113" t="s">
        <v>474</v>
      </c>
      <c r="B188" s="103" t="s">
        <v>561</v>
      </c>
      <c r="C188" s="114" t="s">
        <v>568</v>
      </c>
      <c r="D188" s="115" t="s">
        <v>569</v>
      </c>
      <c r="E188" s="116">
        <v>0.5</v>
      </c>
      <c r="F188" s="115"/>
      <c r="G188" s="117"/>
      <c r="H188" s="118"/>
      <c r="I188" s="119"/>
      <c r="K188" s="84"/>
    </row>
    <row r="189" spans="1:11" s="16" customFormat="1" ht="10.5" customHeight="1">
      <c r="A189" s="113" t="s">
        <v>474</v>
      </c>
      <c r="B189" s="103" t="s">
        <v>561</v>
      </c>
      <c r="C189" s="114" t="s">
        <v>570</v>
      </c>
      <c r="D189" s="115" t="s">
        <v>569</v>
      </c>
      <c r="E189" s="116">
        <v>0.5</v>
      </c>
      <c r="F189" s="115"/>
      <c r="G189" s="117"/>
      <c r="H189" s="118"/>
      <c r="I189" s="119"/>
      <c r="K189" s="84"/>
    </row>
    <row r="190" spans="1:11" s="16" customFormat="1" ht="10.5" customHeight="1">
      <c r="A190" s="113" t="s">
        <v>474</v>
      </c>
      <c r="B190" s="103" t="s">
        <v>561</v>
      </c>
      <c r="C190" s="114" t="s">
        <v>571</v>
      </c>
      <c r="D190" s="115" t="s">
        <v>572</v>
      </c>
      <c r="E190" s="116">
        <v>1.15</v>
      </c>
      <c r="F190" s="115"/>
      <c r="G190" s="117"/>
      <c r="H190" s="118"/>
      <c r="I190" s="119"/>
      <c r="K190" s="84"/>
    </row>
    <row r="191" spans="1:11" s="16" customFormat="1" ht="10.5" customHeight="1">
      <c r="A191" s="113" t="s">
        <v>474</v>
      </c>
      <c r="B191" s="103" t="s">
        <v>561</v>
      </c>
      <c r="C191" s="114" t="s">
        <v>573</v>
      </c>
      <c r="D191" s="115" t="s">
        <v>574</v>
      </c>
      <c r="E191" s="116">
        <v>1.1</v>
      </c>
      <c r="F191" s="115"/>
      <c r="G191" s="117"/>
      <c r="H191" s="118"/>
      <c r="I191" s="119"/>
      <c r="K191" s="84"/>
    </row>
    <row r="192" spans="1:11" s="16" customFormat="1" ht="10.5" customHeight="1">
      <c r="A192" s="113" t="s">
        <v>474</v>
      </c>
      <c r="B192" s="103" t="s">
        <v>561</v>
      </c>
      <c r="C192" s="114" t="s">
        <v>575</v>
      </c>
      <c r="D192" s="115" t="s">
        <v>576</v>
      </c>
      <c r="E192" s="116">
        <f>1.23+1.32+1.33</f>
        <v>3.88</v>
      </c>
      <c r="F192" s="115"/>
      <c r="G192" s="117"/>
      <c r="H192" s="118"/>
      <c r="I192" s="119"/>
      <c r="K192" s="84"/>
    </row>
    <row r="193" spans="1:11" s="16" customFormat="1" ht="10.5" customHeight="1">
      <c r="A193" s="113" t="s">
        <v>474</v>
      </c>
      <c r="B193" s="103" t="s">
        <v>561</v>
      </c>
      <c r="C193" s="114" t="s">
        <v>577</v>
      </c>
      <c r="D193" s="115" t="s">
        <v>578</v>
      </c>
      <c r="E193" s="116">
        <f>1.31+1.26+1.3</f>
        <v>3.87</v>
      </c>
      <c r="F193" s="115"/>
      <c r="G193" s="117"/>
      <c r="H193" s="118"/>
      <c r="I193" s="119"/>
      <c r="K193" s="84"/>
    </row>
    <row r="194" spans="1:11" s="16" customFormat="1" ht="10.5" customHeight="1">
      <c r="A194" s="113" t="s">
        <v>474</v>
      </c>
      <c r="B194" s="103" t="s">
        <v>561</v>
      </c>
      <c r="C194" s="114" t="s">
        <v>579</v>
      </c>
      <c r="D194" s="115" t="s">
        <v>543</v>
      </c>
      <c r="E194" s="116">
        <v>1.19</v>
      </c>
      <c r="F194" s="115"/>
      <c r="G194" s="117"/>
      <c r="H194" s="118"/>
      <c r="I194" s="119"/>
      <c r="K194" s="84"/>
    </row>
    <row r="195" spans="1:11" s="16" customFormat="1" ht="10.5" customHeight="1">
      <c r="A195" s="113" t="s">
        <v>474</v>
      </c>
      <c r="B195" s="103" t="s">
        <v>561</v>
      </c>
      <c r="C195" s="114" t="s">
        <v>580</v>
      </c>
      <c r="D195" s="115" t="s">
        <v>581</v>
      </c>
      <c r="E195" s="116">
        <v>0.83</v>
      </c>
      <c r="F195" s="115"/>
      <c r="G195" s="117"/>
      <c r="H195" s="118"/>
      <c r="I195" s="119"/>
      <c r="K195" s="84"/>
    </row>
    <row r="196" spans="1:11" s="16" customFormat="1" ht="10.5" customHeight="1">
      <c r="A196" s="113" t="s">
        <v>474</v>
      </c>
      <c r="B196" s="103" t="s">
        <v>561</v>
      </c>
      <c r="C196" s="114" t="s">
        <v>582</v>
      </c>
      <c r="D196" s="115" t="s">
        <v>583</v>
      </c>
      <c r="E196" s="116">
        <v>6.11</v>
      </c>
      <c r="F196" s="115"/>
      <c r="G196" s="117"/>
      <c r="H196" s="118"/>
      <c r="I196" s="119"/>
      <c r="K196" s="84"/>
    </row>
    <row r="197" spans="1:11" s="16" customFormat="1" ht="10.5" customHeight="1">
      <c r="A197" s="113" t="s">
        <v>474</v>
      </c>
      <c r="B197" s="103" t="s">
        <v>561</v>
      </c>
      <c r="C197" s="114" t="s">
        <v>584</v>
      </c>
      <c r="D197" s="115" t="s">
        <v>585</v>
      </c>
      <c r="E197" s="116">
        <v>0.75</v>
      </c>
      <c r="F197" s="115"/>
      <c r="G197" s="117"/>
      <c r="H197" s="118"/>
      <c r="I197" s="119"/>
      <c r="K197" s="84"/>
    </row>
    <row r="198" spans="1:11" s="16" customFormat="1" ht="10.5" customHeight="1">
      <c r="A198" s="113" t="s">
        <v>586</v>
      </c>
      <c r="B198" s="103" t="s">
        <v>348</v>
      </c>
      <c r="C198" s="114">
        <v>80</v>
      </c>
      <c r="D198" s="115" t="s">
        <v>587</v>
      </c>
      <c r="E198" s="116">
        <v>1.676</v>
      </c>
      <c r="F198" s="115"/>
      <c r="G198" s="117"/>
      <c r="H198" s="118"/>
      <c r="I198" s="119"/>
      <c r="K198" s="84"/>
    </row>
    <row r="199" spans="1:11" s="16" customFormat="1" ht="10.5" customHeight="1">
      <c r="A199" s="113" t="s">
        <v>586</v>
      </c>
      <c r="B199" s="103" t="s">
        <v>348</v>
      </c>
      <c r="C199" s="114">
        <v>110</v>
      </c>
      <c r="D199" s="115" t="s">
        <v>588</v>
      </c>
      <c r="E199" s="116">
        <v>0.35</v>
      </c>
      <c r="F199" s="115"/>
      <c r="G199" s="117"/>
      <c r="H199" s="118"/>
      <c r="I199" s="119"/>
      <c r="K199" s="84"/>
    </row>
    <row r="200" spans="1:11" s="16" customFormat="1" ht="10.5" customHeight="1">
      <c r="A200" s="113" t="s">
        <v>589</v>
      </c>
      <c r="B200" s="103" t="s">
        <v>348</v>
      </c>
      <c r="C200" s="114">
        <v>170</v>
      </c>
      <c r="D200" s="115" t="s">
        <v>590</v>
      </c>
      <c r="E200" s="116">
        <v>0.236</v>
      </c>
      <c r="F200" s="115"/>
      <c r="G200" s="117"/>
      <c r="H200" s="118"/>
      <c r="I200" s="119"/>
      <c r="K200" s="84"/>
    </row>
    <row r="201" spans="1:11" s="16" customFormat="1" ht="10.5" customHeight="1">
      <c r="A201" s="113" t="s">
        <v>586</v>
      </c>
      <c r="B201" s="103" t="s">
        <v>348</v>
      </c>
      <c r="C201" s="114" t="s">
        <v>591</v>
      </c>
      <c r="D201" s="115" t="s">
        <v>592</v>
      </c>
      <c r="E201" s="116">
        <v>0.195</v>
      </c>
      <c r="F201" s="115"/>
      <c r="G201" s="117"/>
      <c r="H201" s="118"/>
      <c r="I201" s="119"/>
      <c r="K201" s="84"/>
    </row>
    <row r="202" spans="1:11" s="16" customFormat="1" ht="10.5" customHeight="1">
      <c r="A202" s="113" t="s">
        <v>586</v>
      </c>
      <c r="B202" s="103" t="s">
        <v>348</v>
      </c>
      <c r="C202" s="114" t="s">
        <v>593</v>
      </c>
      <c r="D202" s="115" t="s">
        <v>594</v>
      </c>
      <c r="E202" s="116">
        <f>1.96+2.7</f>
        <v>4.66</v>
      </c>
      <c r="F202" s="115"/>
      <c r="G202" s="117"/>
      <c r="H202" s="118"/>
      <c r="I202" s="119"/>
      <c r="K202" s="84"/>
    </row>
    <row r="203" spans="1:11" s="16" customFormat="1" ht="10.5" customHeight="1">
      <c r="A203" s="113" t="s">
        <v>586</v>
      </c>
      <c r="B203" s="103" t="s">
        <v>370</v>
      </c>
      <c r="C203" s="114" t="s">
        <v>393</v>
      </c>
      <c r="D203" s="115" t="s">
        <v>595</v>
      </c>
      <c r="E203" s="116">
        <f>2.312-0.126</f>
        <v>2.186</v>
      </c>
      <c r="F203" s="115"/>
      <c r="G203" s="117"/>
      <c r="H203" s="118"/>
      <c r="I203" s="119"/>
      <c r="K203" s="84"/>
    </row>
    <row r="204" spans="1:11" s="16" customFormat="1" ht="10.5" customHeight="1">
      <c r="A204" s="113" t="s">
        <v>586</v>
      </c>
      <c r="B204" s="103" t="s">
        <v>370</v>
      </c>
      <c r="C204" s="114" t="s">
        <v>371</v>
      </c>
      <c r="D204" s="115" t="s">
        <v>596</v>
      </c>
      <c r="E204" s="116">
        <f>0.074+0.124+0.562+0.696+0.84-0.562</f>
        <v>1.7339999999999998</v>
      </c>
      <c r="F204" s="115"/>
      <c r="G204" s="117"/>
      <c r="H204" s="118"/>
      <c r="I204" s="119"/>
      <c r="K204" s="84"/>
    </row>
    <row r="205" spans="1:11" s="16" customFormat="1" ht="10.5" customHeight="1">
      <c r="A205" s="113" t="s">
        <v>597</v>
      </c>
      <c r="B205" s="103" t="s">
        <v>348</v>
      </c>
      <c r="C205" s="114">
        <v>70</v>
      </c>
      <c r="D205" s="115"/>
      <c r="E205" s="116"/>
      <c r="F205" s="115"/>
      <c r="G205" s="117">
        <v>0.275</v>
      </c>
      <c r="H205" s="118"/>
      <c r="I205" s="119"/>
      <c r="K205" s="84"/>
    </row>
    <row r="206" spans="1:11" s="16" customFormat="1" ht="10.5" customHeight="1">
      <c r="A206" s="113" t="s">
        <v>598</v>
      </c>
      <c r="B206" s="103" t="s">
        <v>348</v>
      </c>
      <c r="C206" s="114">
        <v>40</v>
      </c>
      <c r="D206" s="115"/>
      <c r="E206" s="116"/>
      <c r="F206" s="115"/>
      <c r="G206" s="117"/>
      <c r="H206" s="118">
        <v>3.35</v>
      </c>
      <c r="I206" s="119"/>
      <c r="K206" s="84"/>
    </row>
    <row r="207" spans="1:11" s="16" customFormat="1" ht="10.5" customHeight="1">
      <c r="A207" s="113" t="s">
        <v>598</v>
      </c>
      <c r="B207" s="103" t="s">
        <v>348</v>
      </c>
      <c r="C207" s="114">
        <v>110</v>
      </c>
      <c r="D207" s="115"/>
      <c r="E207" s="116"/>
      <c r="F207" s="115"/>
      <c r="G207" s="117"/>
      <c r="H207" s="118">
        <v>0.94</v>
      </c>
      <c r="I207" s="119"/>
      <c r="K207" s="84"/>
    </row>
    <row r="208" spans="1:11" s="16" customFormat="1" ht="10.5" customHeight="1">
      <c r="A208" s="113" t="s">
        <v>598</v>
      </c>
      <c r="B208" s="103" t="s">
        <v>348</v>
      </c>
      <c r="C208" s="114">
        <v>180</v>
      </c>
      <c r="D208" s="115" t="s">
        <v>599</v>
      </c>
      <c r="E208" s="116">
        <f>3.6-2.4-0.262</f>
        <v>0.9380000000000002</v>
      </c>
      <c r="F208" s="115"/>
      <c r="G208" s="117"/>
      <c r="H208" s="118"/>
      <c r="I208" s="119"/>
      <c r="K208" s="84"/>
    </row>
    <row r="209" spans="1:11" s="16" customFormat="1" ht="10.5" customHeight="1">
      <c r="A209" s="113" t="s">
        <v>598</v>
      </c>
      <c r="B209" s="103" t="s">
        <v>348</v>
      </c>
      <c r="C209" s="114">
        <v>190</v>
      </c>
      <c r="D209" s="115"/>
      <c r="E209" s="116"/>
      <c r="F209" s="115"/>
      <c r="G209" s="117"/>
      <c r="H209" s="118">
        <v>1.56</v>
      </c>
      <c r="I209" s="119"/>
      <c r="K209" s="84"/>
    </row>
    <row r="210" spans="1:11" s="16" customFormat="1" ht="10.5" customHeight="1">
      <c r="A210" s="113" t="s">
        <v>600</v>
      </c>
      <c r="B210" s="103" t="s">
        <v>348</v>
      </c>
      <c r="C210" s="114">
        <v>230</v>
      </c>
      <c r="D210" s="115" t="s">
        <v>601</v>
      </c>
      <c r="E210" s="116">
        <f>3.73-0.972-1.82-0.422</f>
        <v>0.516</v>
      </c>
      <c r="F210" s="115"/>
      <c r="G210" s="117"/>
      <c r="H210" s="118"/>
      <c r="I210" s="119"/>
      <c r="K210" s="84"/>
    </row>
    <row r="211" spans="1:11" s="16" customFormat="1" ht="10.5" customHeight="1">
      <c r="A211" s="113" t="s">
        <v>600</v>
      </c>
      <c r="B211" s="103" t="s">
        <v>348</v>
      </c>
      <c r="C211" s="114">
        <v>250</v>
      </c>
      <c r="D211" s="115" t="s">
        <v>492</v>
      </c>
      <c r="E211" s="116">
        <f>0.57+0.99-0.99</f>
        <v>0.5700000000000001</v>
      </c>
      <c r="F211" s="115"/>
      <c r="G211" s="117"/>
      <c r="H211" s="118"/>
      <c r="I211" s="119"/>
      <c r="K211" s="84"/>
    </row>
    <row r="212" spans="1:11" s="16" customFormat="1" ht="10.5" customHeight="1">
      <c r="A212" s="113" t="s">
        <v>600</v>
      </c>
      <c r="B212" s="103" t="s">
        <v>348</v>
      </c>
      <c r="C212" s="114">
        <v>260</v>
      </c>
      <c r="D212" s="115" t="s">
        <v>602</v>
      </c>
      <c r="E212" s="116">
        <v>2.42</v>
      </c>
      <c r="F212" s="115"/>
      <c r="G212" s="117"/>
      <c r="H212" s="118"/>
      <c r="I212" s="119"/>
      <c r="K212" s="84"/>
    </row>
    <row r="213" spans="1:11" s="16" customFormat="1" ht="10.5" customHeight="1">
      <c r="A213" s="113" t="s">
        <v>603</v>
      </c>
      <c r="B213" s="103" t="s">
        <v>348</v>
      </c>
      <c r="C213" s="114">
        <v>12</v>
      </c>
      <c r="D213" s="115"/>
      <c r="E213" s="116"/>
      <c r="F213" s="115"/>
      <c r="G213" s="117"/>
      <c r="H213" s="118">
        <v>2.86</v>
      </c>
      <c r="I213" s="119"/>
      <c r="K213" s="84"/>
    </row>
    <row r="214" spans="1:11" s="16" customFormat="1" ht="10.5" customHeight="1">
      <c r="A214" s="113" t="s">
        <v>603</v>
      </c>
      <c r="B214" s="103" t="s">
        <v>348</v>
      </c>
      <c r="C214" s="114">
        <v>14</v>
      </c>
      <c r="D214" s="115" t="s">
        <v>588</v>
      </c>
      <c r="E214" s="116">
        <f>0.74-0.012-0.018-0.04-0.202</f>
        <v>0.4679999999999999</v>
      </c>
      <c r="F214" s="115"/>
      <c r="G214" s="117"/>
      <c r="H214" s="118"/>
      <c r="I214" s="119"/>
      <c r="K214" s="84"/>
    </row>
    <row r="215" spans="1:11" s="16" customFormat="1" ht="10.5" customHeight="1">
      <c r="A215" s="113" t="s">
        <v>603</v>
      </c>
      <c r="B215" s="103" t="s">
        <v>348</v>
      </c>
      <c r="C215" s="114">
        <v>18</v>
      </c>
      <c r="D215" s="115"/>
      <c r="E215" s="116"/>
      <c r="F215" s="115"/>
      <c r="G215" s="117"/>
      <c r="H215" s="118">
        <v>1.61</v>
      </c>
      <c r="I215" s="119"/>
      <c r="K215" s="84"/>
    </row>
    <row r="216" spans="1:11" s="16" customFormat="1" ht="10.5" customHeight="1">
      <c r="A216" s="113" t="s">
        <v>603</v>
      </c>
      <c r="B216" s="103" t="s">
        <v>348</v>
      </c>
      <c r="C216" s="114">
        <v>20</v>
      </c>
      <c r="D216" s="115"/>
      <c r="E216" s="116"/>
      <c r="F216" s="115"/>
      <c r="G216" s="117"/>
      <c r="H216" s="118">
        <v>0.89</v>
      </c>
      <c r="I216" s="119"/>
      <c r="K216" s="84"/>
    </row>
    <row r="217" spans="1:11" s="16" customFormat="1" ht="10.5" customHeight="1">
      <c r="A217" s="113" t="s">
        <v>603</v>
      </c>
      <c r="B217" s="103" t="s">
        <v>348</v>
      </c>
      <c r="C217" s="114" t="s">
        <v>604</v>
      </c>
      <c r="D217" s="115"/>
      <c r="E217" s="120">
        <v>0.74</v>
      </c>
      <c r="F217" s="115"/>
      <c r="G217" s="117"/>
      <c r="H217" s="118"/>
      <c r="I217" s="119"/>
      <c r="K217" s="84"/>
    </row>
    <row r="218" spans="1:11" s="16" customFormat="1" ht="10.5" customHeight="1">
      <c r="A218" s="113" t="s">
        <v>603</v>
      </c>
      <c r="B218" s="103" t="s">
        <v>348</v>
      </c>
      <c r="C218" s="114" t="s">
        <v>605</v>
      </c>
      <c r="D218" s="115"/>
      <c r="E218" s="120">
        <v>0.775</v>
      </c>
      <c r="F218" s="115"/>
      <c r="G218" s="117"/>
      <c r="H218" s="118"/>
      <c r="I218" s="119"/>
      <c r="K218" s="84"/>
    </row>
    <row r="219" spans="1:11" s="16" customFormat="1" ht="10.5" customHeight="1">
      <c r="A219" s="113" t="s">
        <v>603</v>
      </c>
      <c r="B219" s="103" t="s">
        <v>348</v>
      </c>
      <c r="C219" s="114">
        <v>26</v>
      </c>
      <c r="D219" s="115" t="s">
        <v>606</v>
      </c>
      <c r="E219" s="124">
        <f>3.33-1+2.7</f>
        <v>5.03</v>
      </c>
      <c r="F219" s="115"/>
      <c r="G219" s="117"/>
      <c r="H219" s="125">
        <v>8</v>
      </c>
      <c r="I219" s="119"/>
      <c r="K219" s="85">
        <v>40586</v>
      </c>
    </row>
    <row r="220" spans="1:11" s="16" customFormat="1" ht="10.5" customHeight="1">
      <c r="A220" s="113" t="s">
        <v>603</v>
      </c>
      <c r="B220" s="103" t="s">
        <v>348</v>
      </c>
      <c r="C220" s="114">
        <v>30</v>
      </c>
      <c r="D220" s="115" t="s">
        <v>405</v>
      </c>
      <c r="E220" s="116">
        <f>2.098+2.7-0.074-0.026-0.076-0.012-0.024-0.308-0.074-0.32-0.104-0.052-0.078-0.106-0.8-0.052-0.076-0.012</f>
        <v>2.6040000000000014</v>
      </c>
      <c r="F220" s="115"/>
      <c r="G220" s="117"/>
      <c r="H220" s="118">
        <v>2.35</v>
      </c>
      <c r="I220" s="123">
        <v>0.1</v>
      </c>
      <c r="J220" s="16" t="s">
        <v>390</v>
      </c>
      <c r="K220" s="84"/>
    </row>
    <row r="221" spans="1:11" s="16" customFormat="1" ht="10.5" customHeight="1">
      <c r="A221" s="113" t="s">
        <v>603</v>
      </c>
      <c r="B221" s="103" t="s">
        <v>348</v>
      </c>
      <c r="C221" s="114">
        <v>32</v>
      </c>
      <c r="D221" s="115" t="s">
        <v>607</v>
      </c>
      <c r="E221" s="116">
        <f>1.888-0.604-0.212-0.182-0.326+2.88-0.238</f>
        <v>3.206</v>
      </c>
      <c r="F221" s="115"/>
      <c r="G221" s="117"/>
      <c r="H221" s="118"/>
      <c r="I221" s="119"/>
      <c r="K221" s="84"/>
    </row>
    <row r="222" spans="1:11" s="16" customFormat="1" ht="10.5" customHeight="1">
      <c r="A222" s="113" t="s">
        <v>603</v>
      </c>
      <c r="B222" s="103" t="s">
        <v>348</v>
      </c>
      <c r="C222" s="114">
        <v>36</v>
      </c>
      <c r="D222" s="115" t="s">
        <v>588</v>
      </c>
      <c r="E222" s="116">
        <f>2.726-0.19-0.038-0.04-0.526-0.078-0.22-0.04-0.5</f>
        <v>1.094</v>
      </c>
      <c r="F222" s="115"/>
      <c r="G222" s="117"/>
      <c r="H222" s="118"/>
      <c r="I222" s="119"/>
      <c r="K222" s="85"/>
    </row>
    <row r="223" spans="1:11" s="16" customFormat="1" ht="10.5" customHeight="1">
      <c r="A223" s="113" t="s">
        <v>603</v>
      </c>
      <c r="B223" s="103" t="s">
        <v>348</v>
      </c>
      <c r="C223" s="114">
        <v>40</v>
      </c>
      <c r="D223" s="115"/>
      <c r="E223" s="116"/>
      <c r="F223" s="115"/>
      <c r="G223" s="117"/>
      <c r="H223" s="125">
        <v>3</v>
      </c>
      <c r="I223" s="119"/>
      <c r="K223" s="85">
        <v>40626</v>
      </c>
    </row>
    <row r="224" spans="1:11" s="16" customFormat="1" ht="10.5" customHeight="1">
      <c r="A224" s="113" t="s">
        <v>603</v>
      </c>
      <c r="B224" s="103" t="s">
        <v>348</v>
      </c>
      <c r="C224" s="114">
        <v>45</v>
      </c>
      <c r="D224" s="115" t="s">
        <v>608</v>
      </c>
      <c r="E224" s="116">
        <f>2.93-0.12-0.08-0.074-0.518-0.012-0.348-0.23-0.038-0.018</f>
        <v>1.492</v>
      </c>
      <c r="F224" s="115"/>
      <c r="G224" s="117"/>
      <c r="H224" s="118"/>
      <c r="I224" s="119"/>
      <c r="K224" s="84"/>
    </row>
    <row r="225" spans="1:11" s="16" customFormat="1" ht="10.5" customHeight="1">
      <c r="A225" s="113" t="s">
        <v>603</v>
      </c>
      <c r="B225" s="103" t="s">
        <v>348</v>
      </c>
      <c r="C225" s="114">
        <v>50</v>
      </c>
      <c r="D225" s="115" t="s">
        <v>608</v>
      </c>
      <c r="E225" s="116">
        <f>4.242-0.03-0.008-0.015-0.068-0.07-0.21-0.064-0.996-1.528</f>
        <v>1.2530000000000001</v>
      </c>
      <c r="F225" s="115"/>
      <c r="G225" s="117"/>
      <c r="H225" s="125">
        <v>3</v>
      </c>
      <c r="I225" s="119">
        <v>1</v>
      </c>
      <c r="J225" s="16" t="s">
        <v>609</v>
      </c>
      <c r="K225" s="85">
        <v>40626</v>
      </c>
    </row>
    <row r="226" spans="1:11" s="16" customFormat="1" ht="10.5" customHeight="1">
      <c r="A226" s="113" t="s">
        <v>603</v>
      </c>
      <c r="B226" s="103" t="s">
        <v>348</v>
      </c>
      <c r="C226" s="114" t="s">
        <v>610</v>
      </c>
      <c r="D226" s="115"/>
      <c r="E226" s="120">
        <v>1.86</v>
      </c>
      <c r="F226" s="115"/>
      <c r="G226" s="117"/>
      <c r="H226" s="118"/>
      <c r="I226" s="119"/>
      <c r="K226" s="84"/>
    </row>
    <row r="227" spans="1:11" s="16" customFormat="1" ht="10.5" customHeight="1">
      <c r="A227" s="113" t="s">
        <v>603</v>
      </c>
      <c r="B227" s="103" t="s">
        <v>348</v>
      </c>
      <c r="C227" s="114">
        <v>60</v>
      </c>
      <c r="D227" s="115"/>
      <c r="E227" s="116"/>
      <c r="F227" s="115"/>
      <c r="G227" s="117"/>
      <c r="H227" s="125">
        <v>3</v>
      </c>
      <c r="I227" s="119"/>
      <c r="K227" s="85">
        <v>40626</v>
      </c>
    </row>
    <row r="228" spans="1:11" s="16" customFormat="1" ht="10.5" customHeight="1">
      <c r="A228" s="113" t="s">
        <v>603</v>
      </c>
      <c r="B228" s="103" t="s">
        <v>348</v>
      </c>
      <c r="C228" s="114">
        <v>70</v>
      </c>
      <c r="D228" s="115" t="s">
        <v>611</v>
      </c>
      <c r="E228" s="116">
        <f>7.17-0.06-0.268-0.136-0.03-0.586-1.992-1.026-0.13-0.456-0.15-0.076-0.47</f>
        <v>1.7900000000000003</v>
      </c>
      <c r="F228" s="115"/>
      <c r="G228" s="117"/>
      <c r="H228" s="118"/>
      <c r="I228" s="119"/>
      <c r="K228" s="84"/>
    </row>
    <row r="229" spans="1:11" s="16" customFormat="1" ht="10.5" customHeight="1">
      <c r="A229" s="113" t="s">
        <v>603</v>
      </c>
      <c r="B229" s="103" t="s">
        <v>348</v>
      </c>
      <c r="C229" s="114">
        <v>75</v>
      </c>
      <c r="D229" s="115" t="s">
        <v>612</v>
      </c>
      <c r="E229" s="116">
        <f>0.688-0.052</f>
        <v>0.6359999999999999</v>
      </c>
      <c r="F229" s="115"/>
      <c r="G229" s="117"/>
      <c r="H229" s="118"/>
      <c r="I229" s="119"/>
      <c r="K229" s="84"/>
    </row>
    <row r="230" spans="1:11" s="16" customFormat="1" ht="10.5" customHeight="1">
      <c r="A230" s="113" t="s">
        <v>603</v>
      </c>
      <c r="B230" s="103" t="s">
        <v>348</v>
      </c>
      <c r="C230" s="114">
        <v>80</v>
      </c>
      <c r="D230" s="115" t="s">
        <v>613</v>
      </c>
      <c r="E230" s="116">
        <f>2.504+1.85-0.39-0.118-0.058-0.72-0.388-0.04-0.082-0.208-0.2-0.08-0.2-0.2-1.018</f>
        <v>0.6520000000000004</v>
      </c>
      <c r="F230" s="115"/>
      <c r="G230" s="117"/>
      <c r="H230" s="118"/>
      <c r="I230" s="119"/>
      <c r="K230" s="84"/>
    </row>
    <row r="231" spans="1:11" s="16" customFormat="1" ht="10.5" customHeight="1">
      <c r="A231" s="113" t="s">
        <v>603</v>
      </c>
      <c r="B231" s="103" t="s">
        <v>348</v>
      </c>
      <c r="C231" s="114" t="s">
        <v>614</v>
      </c>
      <c r="D231" s="115" t="s">
        <v>615</v>
      </c>
      <c r="E231" s="116">
        <v>0.144</v>
      </c>
      <c r="F231" s="115"/>
      <c r="G231" s="117"/>
      <c r="H231" s="118"/>
      <c r="I231" s="119"/>
      <c r="K231" s="84"/>
    </row>
    <row r="232" spans="1:11" s="16" customFormat="1" ht="10.5" customHeight="1">
      <c r="A232" s="113" t="s">
        <v>603</v>
      </c>
      <c r="B232" s="103" t="s">
        <v>348</v>
      </c>
      <c r="C232" s="114">
        <v>90</v>
      </c>
      <c r="D232" s="115" t="s">
        <v>616</v>
      </c>
      <c r="E232" s="116">
        <f>3.51-0.752-0.404-0.204-0.202-0.202-0.1+1.49</f>
        <v>3.136</v>
      </c>
      <c r="F232" s="115"/>
      <c r="G232" s="117"/>
      <c r="H232" s="118">
        <v>2.47</v>
      </c>
      <c r="I232" s="119"/>
      <c r="K232" s="84">
        <v>40526</v>
      </c>
    </row>
    <row r="233" spans="1:11" s="16" customFormat="1" ht="10.5" customHeight="1">
      <c r="A233" s="113" t="s">
        <v>603</v>
      </c>
      <c r="B233" s="103" t="s">
        <v>348</v>
      </c>
      <c r="C233" s="114">
        <v>100</v>
      </c>
      <c r="D233" s="115"/>
      <c r="E233" s="116">
        <f>0.13+0.82+1.7-0.03-0.302-0.122-0.788-0.06-0.536-0.3+3.34-0.122-0.29-0.17-0.154-1.066-0.29-0.306-0.092-0.108-0.256-0.84</f>
        <v>0.15799999999999959</v>
      </c>
      <c r="F233" s="115"/>
      <c r="G233" s="117"/>
      <c r="H233" s="125">
        <v>3.07</v>
      </c>
      <c r="I233" s="119"/>
      <c r="K233" s="85">
        <v>40586</v>
      </c>
    </row>
    <row r="234" spans="1:11" s="16" customFormat="1" ht="10.5" customHeight="1">
      <c r="A234" s="113" t="s">
        <v>603</v>
      </c>
      <c r="B234" s="103" t="s">
        <v>348</v>
      </c>
      <c r="C234" s="114">
        <v>110</v>
      </c>
      <c r="D234" s="115" t="s">
        <v>617</v>
      </c>
      <c r="E234" s="116">
        <f>1.64-0.148-0.88+2.58-0.87-0.478-0.282+3.04-0.076-1.15</f>
        <v>3.376000000000001</v>
      </c>
      <c r="F234" s="115"/>
      <c r="G234" s="117"/>
      <c r="H234" s="118"/>
      <c r="I234" s="119"/>
      <c r="K234" s="84"/>
    </row>
    <row r="235" spans="1:11" s="16" customFormat="1" ht="10.5" customHeight="1">
      <c r="A235" s="113" t="s">
        <v>603</v>
      </c>
      <c r="B235" s="103" t="s">
        <v>348</v>
      </c>
      <c r="C235" s="114">
        <v>120</v>
      </c>
      <c r="D235" s="115" t="s">
        <v>618</v>
      </c>
      <c r="E235" s="116">
        <f>3.69+1.72-2.054-0.006-0.408-0.134-0.41-0.032-0.412-0.202+3.68-0.438-0.19</f>
        <v>4.804</v>
      </c>
      <c r="F235" s="115"/>
      <c r="G235" s="117"/>
      <c r="H235" s="118"/>
      <c r="I235" s="119"/>
      <c r="K235" s="84"/>
    </row>
    <row r="236" spans="1:11" s="16" customFormat="1" ht="10.5" customHeight="1">
      <c r="A236" s="113" t="s">
        <v>603</v>
      </c>
      <c r="B236" s="103" t="s">
        <v>348</v>
      </c>
      <c r="C236" s="114">
        <v>130</v>
      </c>
      <c r="D236" s="115" t="s">
        <v>619</v>
      </c>
      <c r="E236" s="116">
        <f>5.22-1.166-0.596-0.054-0.214-0.206-0.306-0.574-0.272</f>
        <v>1.8320000000000005</v>
      </c>
      <c r="F236" s="115"/>
      <c r="G236" s="117"/>
      <c r="H236" s="118"/>
      <c r="I236" s="123">
        <v>0.604</v>
      </c>
      <c r="J236" s="16" t="s">
        <v>609</v>
      </c>
      <c r="K236" s="84"/>
    </row>
    <row r="237" spans="1:11" s="16" customFormat="1" ht="10.5" customHeight="1">
      <c r="A237" s="113" t="s">
        <v>603</v>
      </c>
      <c r="B237" s="103" t="s">
        <v>348</v>
      </c>
      <c r="C237" s="114">
        <v>140</v>
      </c>
      <c r="D237" s="115" t="s">
        <v>620</v>
      </c>
      <c r="E237" s="116">
        <f>2.488-0.512-0.186-0.084-0.508-0.248+4.41-0.222-0.66-0.402-0.504</f>
        <v>3.5719999999999996</v>
      </c>
      <c r="F237" s="115"/>
      <c r="G237" s="117"/>
      <c r="H237" s="118"/>
      <c r="I237" s="119"/>
      <c r="K237" s="84"/>
    </row>
    <row r="238" spans="1:11" s="16" customFormat="1" ht="10.5" customHeight="1">
      <c r="A238" s="113" t="s">
        <v>603</v>
      </c>
      <c r="B238" s="103" t="s">
        <v>348</v>
      </c>
      <c r="C238" s="114">
        <v>150</v>
      </c>
      <c r="D238" s="115" t="s">
        <v>621</v>
      </c>
      <c r="E238" s="116">
        <f>0.45+3.75-0.374-1.624-0.142-0.542-0.544-0.36+0.36-0.544+2.36+1.67-0.058-0.556-0.56</f>
        <v>3.286</v>
      </c>
      <c r="F238" s="115"/>
      <c r="G238" s="117"/>
      <c r="H238" s="118"/>
      <c r="I238" s="123">
        <v>0.53</v>
      </c>
      <c r="J238" s="16" t="s">
        <v>609</v>
      </c>
      <c r="K238" s="84"/>
    </row>
    <row r="239" spans="1:11" s="16" customFormat="1" ht="10.5" customHeight="1">
      <c r="A239" s="113" t="s">
        <v>603</v>
      </c>
      <c r="B239" s="103" t="s">
        <v>348</v>
      </c>
      <c r="C239" s="114">
        <v>160</v>
      </c>
      <c r="D239" s="115" t="s">
        <v>612</v>
      </c>
      <c r="E239" s="116">
        <f>1.76-0.16-0.328+4.3-0.158-0.408-0.198-0.536-0.098-0.44-0.268-0.516-0.188</f>
        <v>2.7619999999999982</v>
      </c>
      <c r="F239" s="115"/>
      <c r="G239" s="117"/>
      <c r="H239" s="118"/>
      <c r="I239" s="123">
        <v>1.076</v>
      </c>
      <c r="J239" s="16" t="s">
        <v>609</v>
      </c>
      <c r="K239" s="84"/>
    </row>
    <row r="240" spans="1:11" s="16" customFormat="1" ht="10.5" customHeight="1">
      <c r="A240" s="113" t="s">
        <v>603</v>
      </c>
      <c r="B240" s="103" t="s">
        <v>348</v>
      </c>
      <c r="C240" s="114">
        <v>170</v>
      </c>
      <c r="D240" s="115" t="s">
        <v>622</v>
      </c>
      <c r="E240" s="116">
        <f>4.22-1.216-0.606-0.606+3.85-0.606-0.03-0.302-1.716</f>
        <v>2.9879999999999995</v>
      </c>
      <c r="F240" s="115"/>
      <c r="G240" s="117"/>
      <c r="H240" s="118"/>
      <c r="I240" s="119"/>
      <c r="K240" s="84"/>
    </row>
    <row r="241" spans="1:11" s="16" customFormat="1" ht="10.5" customHeight="1">
      <c r="A241" s="113" t="s">
        <v>603</v>
      </c>
      <c r="B241" s="103" t="s">
        <v>348</v>
      </c>
      <c r="C241" s="114">
        <v>180</v>
      </c>
      <c r="D241" s="115" t="s">
        <v>623</v>
      </c>
      <c r="E241" s="116">
        <f>3.84-0.564-0.102</f>
        <v>3.174</v>
      </c>
      <c r="F241" s="115"/>
      <c r="G241" s="117"/>
      <c r="H241" s="118"/>
      <c r="I241" s="123">
        <v>1.74</v>
      </c>
      <c r="J241" s="16" t="s">
        <v>609</v>
      </c>
      <c r="K241" s="84"/>
    </row>
    <row r="242" spans="1:11" s="16" customFormat="1" ht="10.5" customHeight="1">
      <c r="A242" s="113" t="s">
        <v>603</v>
      </c>
      <c r="B242" s="103" t="s">
        <v>348</v>
      </c>
      <c r="C242" s="114">
        <v>190</v>
      </c>
      <c r="D242" s="115" t="s">
        <v>624</v>
      </c>
      <c r="E242" s="116">
        <f>4.13-2.736+4.89-0.136-1.436</f>
        <v>4.711999999999999</v>
      </c>
      <c r="F242" s="115"/>
      <c r="G242" s="117"/>
      <c r="H242" s="118"/>
      <c r="I242" s="119"/>
      <c r="K242" s="84"/>
    </row>
    <row r="243" spans="1:11" s="16" customFormat="1" ht="10.5" customHeight="1">
      <c r="A243" s="113" t="s">
        <v>603</v>
      </c>
      <c r="B243" s="103" t="s">
        <v>348</v>
      </c>
      <c r="C243" s="114">
        <v>200</v>
      </c>
      <c r="D243" s="115" t="s">
        <v>625</v>
      </c>
      <c r="E243" s="124">
        <f>3.91-0.1-0.8-0.636</f>
        <v>2.3739999999999997</v>
      </c>
      <c r="F243" s="115"/>
      <c r="G243" s="117"/>
      <c r="H243" s="125"/>
      <c r="I243" s="119"/>
      <c r="K243" s="85"/>
    </row>
    <row r="244" spans="1:11" s="16" customFormat="1" ht="10.5" customHeight="1">
      <c r="A244" s="113" t="s">
        <v>603</v>
      </c>
      <c r="B244" s="103" t="s">
        <v>348</v>
      </c>
      <c r="C244" s="114">
        <v>210</v>
      </c>
      <c r="D244" s="115" t="s">
        <v>626</v>
      </c>
      <c r="E244" s="116">
        <f>3.99-0.294-0.278-0.272-0.18</f>
        <v>2.9659999999999997</v>
      </c>
      <c r="F244" s="115"/>
      <c r="G244" s="117"/>
      <c r="H244" s="118"/>
      <c r="I244" s="123">
        <v>0.816</v>
      </c>
      <c r="J244" s="16" t="s">
        <v>609</v>
      </c>
      <c r="K244" s="84"/>
    </row>
    <row r="245" spans="1:11" s="16" customFormat="1" ht="10.5" customHeight="1">
      <c r="A245" s="113" t="s">
        <v>603</v>
      </c>
      <c r="B245" s="103" t="s">
        <v>348</v>
      </c>
      <c r="C245" s="114">
        <v>220</v>
      </c>
      <c r="D245" s="115" t="s">
        <v>627</v>
      </c>
      <c r="E245" s="116">
        <f>3.93-0.302+2.3-0.974-1.948-0.676+2.79-0.088-0.3-0.034-0.092-0.352-0.768+3.89-0.106-0.324</f>
        <v>6.946</v>
      </c>
      <c r="F245" s="115"/>
      <c r="G245" s="117"/>
      <c r="H245" s="118"/>
      <c r="I245" s="123">
        <v>0.96</v>
      </c>
      <c r="J245" s="16" t="s">
        <v>609</v>
      </c>
      <c r="K245" s="84"/>
    </row>
    <row r="246" spans="1:11" s="16" customFormat="1" ht="10.5" customHeight="1">
      <c r="A246" s="113" t="s">
        <v>603</v>
      </c>
      <c r="B246" s="103" t="s">
        <v>348</v>
      </c>
      <c r="C246" s="114">
        <v>230</v>
      </c>
      <c r="D246" s="115" t="s">
        <v>628</v>
      </c>
      <c r="E246" s="116">
        <f>3.55+3.7-1.182-0.1-0.486</f>
        <v>5.482</v>
      </c>
      <c r="F246" s="115"/>
      <c r="G246" s="117"/>
      <c r="H246" s="118"/>
      <c r="I246" s="123">
        <v>1.206</v>
      </c>
      <c r="J246" s="16" t="s">
        <v>609</v>
      </c>
      <c r="K246" s="84"/>
    </row>
    <row r="247" spans="1:11" s="16" customFormat="1" ht="10.5" customHeight="1">
      <c r="A247" s="113" t="s">
        <v>603</v>
      </c>
      <c r="B247" s="103" t="s">
        <v>348</v>
      </c>
      <c r="C247" s="114">
        <v>240</v>
      </c>
      <c r="D247" s="115" t="s">
        <v>629</v>
      </c>
      <c r="E247" s="116">
        <f>3.76-0.02-0.042-0.968-0.96-0.926+4.69</f>
        <v>5.534000000000001</v>
      </c>
      <c r="F247" s="115"/>
      <c r="G247" s="117"/>
      <c r="H247" s="118"/>
      <c r="I247" s="119"/>
      <c r="K247" s="84"/>
    </row>
    <row r="248" spans="1:11" s="16" customFormat="1" ht="10.5" customHeight="1">
      <c r="A248" s="113" t="s">
        <v>603</v>
      </c>
      <c r="B248" s="103" t="s">
        <v>348</v>
      </c>
      <c r="C248" s="114">
        <v>250</v>
      </c>
      <c r="D248" s="115"/>
      <c r="E248" s="116"/>
      <c r="F248" s="115"/>
      <c r="G248" s="117"/>
      <c r="H248" s="125">
        <v>4</v>
      </c>
      <c r="I248" s="119"/>
      <c r="K248" s="85">
        <v>40626</v>
      </c>
    </row>
    <row r="249" spans="1:11" s="16" customFormat="1" ht="10.5" customHeight="1">
      <c r="A249" s="113" t="s">
        <v>603</v>
      </c>
      <c r="B249" s="103" t="s">
        <v>348</v>
      </c>
      <c r="C249" s="114">
        <v>260</v>
      </c>
      <c r="D249" s="115" t="s">
        <v>630</v>
      </c>
      <c r="E249" s="116">
        <f>0.504+4.2-0.07-0.428</f>
        <v>4.206</v>
      </c>
      <c r="F249" s="115"/>
      <c r="G249" s="117"/>
      <c r="H249" s="118"/>
      <c r="I249" s="119"/>
      <c r="K249" s="84"/>
    </row>
    <row r="250" spans="1:11" s="16" customFormat="1" ht="10.5" customHeight="1">
      <c r="A250" s="113" t="s">
        <v>603</v>
      </c>
      <c r="B250" s="103" t="s">
        <v>348</v>
      </c>
      <c r="C250" s="114">
        <v>270</v>
      </c>
      <c r="D250" s="115" t="s">
        <v>631</v>
      </c>
      <c r="E250" s="116">
        <f>0.528+3.65-1.258-0.164-0.53-0.514</f>
        <v>1.712</v>
      </c>
      <c r="F250" s="115"/>
      <c r="G250" s="117"/>
      <c r="H250" s="118"/>
      <c r="I250" s="119"/>
      <c r="K250" s="84"/>
    </row>
    <row r="251" spans="1:11" s="16" customFormat="1" ht="10.5" customHeight="1">
      <c r="A251" s="113" t="s">
        <v>603</v>
      </c>
      <c r="B251" s="103" t="s">
        <v>348</v>
      </c>
      <c r="C251" s="114">
        <v>280</v>
      </c>
      <c r="D251" s="115" t="s">
        <v>632</v>
      </c>
      <c r="E251" s="116">
        <f>4.59-0.542-0.062-0.08-0.488</f>
        <v>3.418</v>
      </c>
      <c r="F251" s="115"/>
      <c r="G251" s="117"/>
      <c r="H251" s="118"/>
      <c r="I251" s="119"/>
      <c r="K251" s="84"/>
    </row>
    <row r="252" spans="1:11" s="16" customFormat="1" ht="10.5" customHeight="1">
      <c r="A252" s="113" t="s">
        <v>603</v>
      </c>
      <c r="B252" s="103" t="s">
        <v>364</v>
      </c>
      <c r="C252" s="114" t="s">
        <v>470</v>
      </c>
      <c r="D252" s="115" t="s">
        <v>405</v>
      </c>
      <c r="E252" s="120">
        <v>2.655</v>
      </c>
      <c r="F252" s="115"/>
      <c r="G252" s="117"/>
      <c r="H252" s="118"/>
      <c r="I252" s="119"/>
      <c r="K252" s="84"/>
    </row>
    <row r="253" spans="1:11" s="16" customFormat="1" ht="10.5" customHeight="1">
      <c r="A253" s="113" t="s">
        <v>603</v>
      </c>
      <c r="B253" s="103" t="s">
        <v>364</v>
      </c>
      <c r="C253" s="114" t="s">
        <v>633</v>
      </c>
      <c r="D253" s="115" t="s">
        <v>634</v>
      </c>
      <c r="E253" s="120">
        <f>0.55-0.05</f>
        <v>0.5</v>
      </c>
      <c r="F253" s="115"/>
      <c r="G253" s="117"/>
      <c r="H253" s="121">
        <v>2.5</v>
      </c>
      <c r="I253" s="119"/>
      <c r="K253" s="84"/>
    </row>
    <row r="254" spans="1:11" s="16" customFormat="1" ht="10.5" customHeight="1">
      <c r="A254" s="113" t="s">
        <v>603</v>
      </c>
      <c r="B254" s="103" t="s">
        <v>364</v>
      </c>
      <c r="C254" s="114" t="s">
        <v>428</v>
      </c>
      <c r="D254" s="115" t="s">
        <v>383</v>
      </c>
      <c r="E254" s="120">
        <v>2.895</v>
      </c>
      <c r="F254" s="115"/>
      <c r="G254" s="117"/>
      <c r="H254" s="118"/>
      <c r="I254" s="119"/>
      <c r="K254" s="84"/>
    </row>
    <row r="255" spans="1:11" s="16" customFormat="1" ht="10.5" customHeight="1">
      <c r="A255" s="113" t="s">
        <v>635</v>
      </c>
      <c r="B255" s="103" t="s">
        <v>348</v>
      </c>
      <c r="C255" s="114">
        <v>20</v>
      </c>
      <c r="D255" s="115" t="s">
        <v>636</v>
      </c>
      <c r="E255" s="116">
        <f>1.014-0.012-0.058-0.032-0.034-0.066-0.056-0.056-0.1-0.034</f>
        <v>0.5659999999999997</v>
      </c>
      <c r="F255" s="115"/>
      <c r="G255" s="117"/>
      <c r="H255" s="118"/>
      <c r="I255" s="119"/>
      <c r="K255" s="84"/>
    </row>
    <row r="256" spans="1:11" s="16" customFormat="1" ht="10.5" customHeight="1">
      <c r="A256" s="113" t="s">
        <v>637</v>
      </c>
      <c r="B256" s="103" t="s">
        <v>348</v>
      </c>
      <c r="C256" s="114">
        <v>20</v>
      </c>
      <c r="D256" s="115" t="s">
        <v>638</v>
      </c>
      <c r="E256" s="116">
        <f>0.784-0.034</f>
        <v>0.75</v>
      </c>
      <c r="F256" s="115"/>
      <c r="G256" s="117"/>
      <c r="H256" s="118"/>
      <c r="I256" s="119"/>
      <c r="K256" s="84"/>
    </row>
    <row r="257" spans="1:11" s="16" customFormat="1" ht="10.5" customHeight="1">
      <c r="A257" s="113" t="s">
        <v>639</v>
      </c>
      <c r="B257" s="103" t="s">
        <v>348</v>
      </c>
      <c r="C257" s="114" t="s">
        <v>640</v>
      </c>
      <c r="D257" s="115" t="s">
        <v>588</v>
      </c>
      <c r="E257" s="116">
        <v>2.81</v>
      </c>
      <c r="F257" s="115"/>
      <c r="G257" s="117"/>
      <c r="H257" s="118"/>
      <c r="I257" s="119"/>
      <c r="K257" s="84"/>
    </row>
    <row r="258" spans="1:11" s="16" customFormat="1" ht="10.5" customHeight="1">
      <c r="A258" s="113" t="s">
        <v>637</v>
      </c>
      <c r="B258" s="103" t="s">
        <v>348</v>
      </c>
      <c r="C258" s="114">
        <v>22</v>
      </c>
      <c r="D258" s="115" t="s">
        <v>641</v>
      </c>
      <c r="E258" s="116">
        <f>0.784-0.066-0.008</f>
        <v>0.71</v>
      </c>
      <c r="F258" s="115"/>
      <c r="G258" s="117"/>
      <c r="H258" s="118"/>
      <c r="I258" s="119"/>
      <c r="K258" s="84"/>
    </row>
    <row r="259" spans="1:11" s="16" customFormat="1" ht="10.5" customHeight="1">
      <c r="A259" s="113" t="s">
        <v>635</v>
      </c>
      <c r="B259" s="103" t="s">
        <v>348</v>
      </c>
      <c r="C259" s="114">
        <v>25</v>
      </c>
      <c r="D259" s="115" t="s">
        <v>642</v>
      </c>
      <c r="E259" s="116">
        <f>2.782-0.052-1.004-0.068-0.104-0.052-0.328-0.086-0.172-0.208-0.036-0.502</f>
        <v>0.1699999999999997</v>
      </c>
      <c r="F259" s="115"/>
      <c r="G259" s="117"/>
      <c r="H259" s="118"/>
      <c r="I259" s="119"/>
      <c r="K259" s="84"/>
    </row>
    <row r="260" spans="1:11" s="16" customFormat="1" ht="10.5" customHeight="1">
      <c r="A260" s="113" t="s">
        <v>639</v>
      </c>
      <c r="B260" s="103" t="s">
        <v>348</v>
      </c>
      <c r="C260" s="114" t="s">
        <v>643</v>
      </c>
      <c r="D260" s="115"/>
      <c r="E260" s="124">
        <f>3.35-0.506</f>
        <v>2.8440000000000003</v>
      </c>
      <c r="F260" s="115"/>
      <c r="G260" s="122"/>
      <c r="H260" s="125"/>
      <c r="I260" s="123"/>
      <c r="K260" s="85"/>
    </row>
    <row r="261" spans="1:11" s="16" customFormat="1" ht="10.5" customHeight="1">
      <c r="A261" s="113" t="s">
        <v>635</v>
      </c>
      <c r="B261" s="103" t="s">
        <v>348</v>
      </c>
      <c r="C261" s="114" t="s">
        <v>644</v>
      </c>
      <c r="D261" s="115"/>
      <c r="E261" s="116"/>
      <c r="F261" s="115" t="s">
        <v>481</v>
      </c>
      <c r="G261" s="122">
        <f>1.02-0.03-0.5-0.054-0.3</f>
        <v>0.136</v>
      </c>
      <c r="H261" s="118"/>
      <c r="I261" s="119"/>
      <c r="K261" s="84"/>
    </row>
    <row r="262" spans="1:11" s="16" customFormat="1" ht="10.5" customHeight="1">
      <c r="A262" s="113" t="s">
        <v>639</v>
      </c>
      <c r="B262" s="103" t="s">
        <v>348</v>
      </c>
      <c r="C262" s="114" t="s">
        <v>644</v>
      </c>
      <c r="D262" s="115"/>
      <c r="E262" s="116">
        <f>2+0.182</f>
        <v>2.182</v>
      </c>
      <c r="F262" s="115"/>
      <c r="G262" s="122"/>
      <c r="H262" s="118"/>
      <c r="I262" s="119"/>
      <c r="K262" s="84"/>
    </row>
    <row r="263" spans="1:11" s="16" customFormat="1" ht="10.5" customHeight="1">
      <c r="A263" s="113" t="s">
        <v>635</v>
      </c>
      <c r="B263" s="103" t="s">
        <v>348</v>
      </c>
      <c r="C263" s="114">
        <v>32</v>
      </c>
      <c r="D263" s="115" t="s">
        <v>645</v>
      </c>
      <c r="E263" s="116">
        <f>3.198-0.028-0.532-0.114</f>
        <v>2.524</v>
      </c>
      <c r="F263" s="115"/>
      <c r="G263" s="117"/>
      <c r="H263" s="118"/>
      <c r="I263" s="119"/>
      <c r="K263" s="84"/>
    </row>
    <row r="264" spans="1:11" s="16" customFormat="1" ht="10.5" customHeight="1">
      <c r="A264" s="113" t="s">
        <v>639</v>
      </c>
      <c r="B264" s="103" t="s">
        <v>348</v>
      </c>
      <c r="C264" s="114" t="s">
        <v>646</v>
      </c>
      <c r="D264" s="115"/>
      <c r="E264" s="124">
        <f>2.68-1.014</f>
        <v>1.6660000000000001</v>
      </c>
      <c r="F264" s="115"/>
      <c r="G264" s="122"/>
      <c r="H264" s="125"/>
      <c r="I264" s="119"/>
      <c r="K264" s="88"/>
    </row>
    <row r="265" spans="1:11" s="16" customFormat="1" ht="10.5" customHeight="1">
      <c r="A265" s="113" t="s">
        <v>635</v>
      </c>
      <c r="B265" s="103" t="s">
        <v>348</v>
      </c>
      <c r="C265" s="114">
        <v>36</v>
      </c>
      <c r="D265" s="115" t="s">
        <v>459</v>
      </c>
      <c r="E265" s="116">
        <f>1.62-0.08-0.7-0.118-0.102</f>
        <v>0.6200000000000001</v>
      </c>
      <c r="F265" s="115"/>
      <c r="G265" s="117"/>
      <c r="H265" s="118"/>
      <c r="I265" s="119"/>
      <c r="K265" s="84"/>
    </row>
    <row r="266" spans="1:11" s="16" customFormat="1" ht="10.5" customHeight="1">
      <c r="A266" s="113" t="s">
        <v>635</v>
      </c>
      <c r="B266" s="103" t="s">
        <v>348</v>
      </c>
      <c r="C266" s="114" t="s">
        <v>647</v>
      </c>
      <c r="D266" s="115" t="s">
        <v>403</v>
      </c>
      <c r="E266" s="116">
        <f>2.39-0.53-0.072</f>
        <v>1.788</v>
      </c>
      <c r="F266" s="115"/>
      <c r="G266" s="117"/>
      <c r="H266" s="118"/>
      <c r="I266" s="119"/>
      <c r="K266" s="84"/>
    </row>
    <row r="267" spans="1:11" s="16" customFormat="1" ht="10.5" customHeight="1">
      <c r="A267" s="113" t="s">
        <v>639</v>
      </c>
      <c r="B267" s="103" t="s">
        <v>348</v>
      </c>
      <c r="C267" s="114" t="s">
        <v>648</v>
      </c>
      <c r="D267" s="115"/>
      <c r="E267" s="116"/>
      <c r="F267" s="115"/>
      <c r="G267" s="117"/>
      <c r="H267" s="125">
        <v>3</v>
      </c>
      <c r="I267" s="123"/>
      <c r="K267" s="85">
        <v>40618</v>
      </c>
    </row>
    <row r="268" spans="1:11" s="16" customFormat="1" ht="10.5" customHeight="1">
      <c r="A268" s="113" t="s">
        <v>635</v>
      </c>
      <c r="B268" s="103" t="s">
        <v>348</v>
      </c>
      <c r="C268" s="114">
        <v>45</v>
      </c>
      <c r="D268" s="115" t="s">
        <v>405</v>
      </c>
      <c r="E268" s="116">
        <f>1.252-0.508-0.44-0.112-0.058-0.056</f>
        <v>0.07800000000000001</v>
      </c>
      <c r="F268" s="115"/>
      <c r="G268" s="117"/>
      <c r="H268" s="118"/>
      <c r="I268" s="119"/>
      <c r="K268" s="84"/>
    </row>
    <row r="269" spans="1:11" s="16" customFormat="1" ht="10.5" customHeight="1">
      <c r="A269" s="113" t="s">
        <v>635</v>
      </c>
      <c r="B269" s="103" t="s">
        <v>348</v>
      </c>
      <c r="C269" s="114" t="s">
        <v>649</v>
      </c>
      <c r="D269" s="115"/>
      <c r="E269" s="116">
        <f>3.27-0.116-0.11-0.118-0.176</f>
        <v>2.75</v>
      </c>
      <c r="F269" s="115"/>
      <c r="G269" s="117"/>
      <c r="H269" s="118"/>
      <c r="I269" s="119"/>
      <c r="K269" s="84"/>
    </row>
    <row r="270" spans="1:11" s="16" customFormat="1" ht="10.5" customHeight="1">
      <c r="A270" s="113" t="s">
        <v>639</v>
      </c>
      <c r="B270" s="103" t="s">
        <v>348</v>
      </c>
      <c r="C270" s="114" t="s">
        <v>650</v>
      </c>
      <c r="D270" s="115"/>
      <c r="E270" s="116">
        <f>2.82-0.22-0.274-0.112</f>
        <v>2.2139999999999995</v>
      </c>
      <c r="F270" s="115"/>
      <c r="G270" s="122"/>
      <c r="H270" s="118"/>
      <c r="I270" s="123"/>
      <c r="K270" s="84"/>
    </row>
    <row r="271" spans="1:11" s="16" customFormat="1" ht="10.5" customHeight="1">
      <c r="A271" s="113" t="s">
        <v>635</v>
      </c>
      <c r="B271" s="103" t="s">
        <v>348</v>
      </c>
      <c r="C271" s="114">
        <v>52</v>
      </c>
      <c r="D271" s="115" t="s">
        <v>651</v>
      </c>
      <c r="E271" s="116">
        <v>0.088</v>
      </c>
      <c r="F271" s="115"/>
      <c r="G271" s="117"/>
      <c r="H271" s="118"/>
      <c r="I271" s="119"/>
      <c r="K271" s="84"/>
    </row>
    <row r="272" spans="1:11" s="16" customFormat="1" ht="10.5" customHeight="1">
      <c r="A272" s="113" t="s">
        <v>635</v>
      </c>
      <c r="B272" s="103" t="s">
        <v>348</v>
      </c>
      <c r="C272" s="114" t="s">
        <v>652</v>
      </c>
      <c r="D272" s="115" t="s">
        <v>414</v>
      </c>
      <c r="E272" s="116">
        <v>3.36</v>
      </c>
      <c r="F272" s="115"/>
      <c r="G272" s="117"/>
      <c r="H272" s="118"/>
      <c r="I272" s="119"/>
      <c r="K272" s="84"/>
    </row>
    <row r="273" spans="1:11" s="16" customFormat="1" ht="10.5" customHeight="1">
      <c r="A273" s="113" t="s">
        <v>635</v>
      </c>
      <c r="B273" s="103" t="s">
        <v>348</v>
      </c>
      <c r="C273" s="114">
        <v>56</v>
      </c>
      <c r="D273" s="115"/>
      <c r="E273" s="116">
        <f>3.1-0.02</f>
        <v>3.08</v>
      </c>
      <c r="F273" s="115"/>
      <c r="G273" s="117"/>
      <c r="H273" s="118"/>
      <c r="I273" s="119"/>
      <c r="K273" s="84"/>
    </row>
    <row r="274" spans="1:11" s="16" customFormat="1" ht="10.5" customHeight="1">
      <c r="A274" s="113" t="s">
        <v>635</v>
      </c>
      <c r="B274" s="103" t="s">
        <v>348</v>
      </c>
      <c r="C274" s="114" t="s">
        <v>653</v>
      </c>
      <c r="D274" s="115" t="s">
        <v>405</v>
      </c>
      <c r="E274" s="116">
        <f>3.1-0.206-0.102-0.102-0.072-0.104-0.508-0.102-0.206-0.104-0.022-0.026-0.054</f>
        <v>1.492</v>
      </c>
      <c r="F274" s="115"/>
      <c r="G274" s="117"/>
      <c r="H274" s="118"/>
      <c r="I274" s="123"/>
      <c r="K274" s="84"/>
    </row>
    <row r="275" spans="1:11" s="16" customFormat="1" ht="10.5" customHeight="1">
      <c r="A275" s="113" t="s">
        <v>635</v>
      </c>
      <c r="B275" s="103" t="s">
        <v>348</v>
      </c>
      <c r="C275" s="114">
        <v>70</v>
      </c>
      <c r="D275" s="115" t="s">
        <v>459</v>
      </c>
      <c r="E275" s="116">
        <f>1.186-0.148-0.15-0.048-0.476-0.03</f>
        <v>0.33399999999999996</v>
      </c>
      <c r="F275" s="115"/>
      <c r="G275" s="117"/>
      <c r="H275" s="118"/>
      <c r="I275" s="119"/>
      <c r="K275" s="84"/>
    </row>
    <row r="276" spans="1:11" s="16" customFormat="1" ht="10.5" customHeight="1">
      <c r="A276" s="113" t="s">
        <v>635</v>
      </c>
      <c r="B276" s="103" t="s">
        <v>348</v>
      </c>
      <c r="C276" s="114" t="s">
        <v>654</v>
      </c>
      <c r="D276" s="115" t="s">
        <v>459</v>
      </c>
      <c r="E276" s="116">
        <v>3.22</v>
      </c>
      <c r="F276" s="115"/>
      <c r="G276" s="117"/>
      <c r="H276" s="118"/>
      <c r="I276" s="123">
        <v>0.304</v>
      </c>
      <c r="J276" s="16" t="s">
        <v>609</v>
      </c>
      <c r="K276" s="84"/>
    </row>
    <row r="277" spans="1:11" s="16" customFormat="1" ht="10.5" customHeight="1">
      <c r="A277" s="113" t="s">
        <v>635</v>
      </c>
      <c r="B277" s="103" t="s">
        <v>348</v>
      </c>
      <c r="C277" s="114">
        <v>75</v>
      </c>
      <c r="D277" s="115" t="s">
        <v>655</v>
      </c>
      <c r="E277" s="116">
        <v>0.48</v>
      </c>
      <c r="F277" s="115"/>
      <c r="G277" s="117"/>
      <c r="H277" s="118"/>
      <c r="I277" s="119"/>
      <c r="K277" s="84"/>
    </row>
    <row r="278" spans="1:11" s="16" customFormat="1" ht="10.5" customHeight="1">
      <c r="A278" s="113" t="s">
        <v>635</v>
      </c>
      <c r="B278" s="103" t="s">
        <v>348</v>
      </c>
      <c r="C278" s="114">
        <v>80</v>
      </c>
      <c r="D278" s="115" t="s">
        <v>656</v>
      </c>
      <c r="E278" s="116">
        <f>0.57+1.75+1.75-0.152-0.136-0.04-0.318</f>
        <v>3.424</v>
      </c>
      <c r="F278" s="115"/>
      <c r="G278" s="117"/>
      <c r="H278" s="118"/>
      <c r="I278" s="119"/>
      <c r="K278" s="84"/>
    </row>
    <row r="279" spans="1:11" s="16" customFormat="1" ht="10.5" customHeight="1">
      <c r="A279" s="113" t="s">
        <v>637</v>
      </c>
      <c r="B279" s="103" t="s">
        <v>348</v>
      </c>
      <c r="C279" s="114">
        <v>80</v>
      </c>
      <c r="D279" s="115" t="s">
        <v>657</v>
      </c>
      <c r="E279" s="116">
        <f>0.116-0.04</f>
        <v>0.07600000000000001</v>
      </c>
      <c r="F279" s="115"/>
      <c r="G279" s="117"/>
      <c r="H279" s="118"/>
      <c r="I279" s="119"/>
      <c r="K279" s="84"/>
    </row>
    <row r="280" spans="1:11" s="16" customFormat="1" ht="10.5" customHeight="1">
      <c r="A280" s="113" t="s">
        <v>658</v>
      </c>
      <c r="B280" s="103" t="s">
        <v>348</v>
      </c>
      <c r="C280" s="114">
        <v>80</v>
      </c>
      <c r="D280" s="115" t="s">
        <v>659</v>
      </c>
      <c r="E280" s="116">
        <v>0.108</v>
      </c>
      <c r="F280" s="115"/>
      <c r="G280" s="117"/>
      <c r="H280" s="118"/>
      <c r="I280" s="119"/>
      <c r="K280" s="84"/>
    </row>
    <row r="281" spans="1:11" s="16" customFormat="1" ht="10.5" customHeight="1">
      <c r="A281" s="113" t="s">
        <v>635</v>
      </c>
      <c r="B281" s="103" t="s">
        <v>348</v>
      </c>
      <c r="C281" s="114">
        <v>90</v>
      </c>
      <c r="D281" s="115" t="s">
        <v>660</v>
      </c>
      <c r="E281" s="116">
        <f>2.428-0.174-0.052-0.068-0.18-0.214</f>
        <v>1.74</v>
      </c>
      <c r="F281" s="115" t="s">
        <v>661</v>
      </c>
      <c r="G281" s="117">
        <v>0.575</v>
      </c>
      <c r="H281" s="118"/>
      <c r="I281" s="119"/>
      <c r="K281" s="84"/>
    </row>
    <row r="282" spans="1:11" s="16" customFormat="1" ht="10.5" customHeight="1">
      <c r="A282" s="113" t="s">
        <v>637</v>
      </c>
      <c r="B282" s="103" t="s">
        <v>348</v>
      </c>
      <c r="C282" s="114">
        <v>90</v>
      </c>
      <c r="D282" s="115" t="s">
        <v>662</v>
      </c>
      <c r="E282" s="116">
        <v>1.872</v>
      </c>
      <c r="F282" s="115"/>
      <c r="G282" s="117"/>
      <c r="H282" s="118"/>
      <c r="I282" s="119"/>
      <c r="K282" s="84"/>
    </row>
    <row r="283" spans="1:11" s="16" customFormat="1" ht="10.5" customHeight="1">
      <c r="A283" s="113" t="s">
        <v>663</v>
      </c>
      <c r="B283" s="103" t="s">
        <v>348</v>
      </c>
      <c r="C283" s="114">
        <v>100</v>
      </c>
      <c r="D283" s="115" t="s">
        <v>664</v>
      </c>
      <c r="E283" s="116">
        <f>2.74-0.262-0.514-0.21-0.062</f>
        <v>1.6920000000000002</v>
      </c>
      <c r="F283" s="115"/>
      <c r="G283" s="117"/>
      <c r="H283" s="118"/>
      <c r="I283" s="119"/>
      <c r="K283" s="84"/>
    </row>
    <row r="284" spans="1:11" s="16" customFormat="1" ht="10.5" customHeight="1">
      <c r="A284" s="113" t="s">
        <v>639</v>
      </c>
      <c r="B284" s="103" t="s">
        <v>348</v>
      </c>
      <c r="C284" s="114" t="s">
        <v>369</v>
      </c>
      <c r="D284" s="115" t="s">
        <v>665</v>
      </c>
      <c r="E284" s="116">
        <v>5</v>
      </c>
      <c r="F284" s="115"/>
      <c r="G284" s="117"/>
      <c r="H284" s="118"/>
      <c r="I284" s="119"/>
      <c r="K284" s="84"/>
    </row>
    <row r="285" spans="1:11" s="16" customFormat="1" ht="10.5" customHeight="1">
      <c r="A285" s="113" t="s">
        <v>666</v>
      </c>
      <c r="B285" s="103" t="s">
        <v>348</v>
      </c>
      <c r="C285" s="114">
        <v>110</v>
      </c>
      <c r="D285" s="115" t="s">
        <v>667</v>
      </c>
      <c r="E285" s="116">
        <f>2.854-0.068-0.298-0.304-0.3-0.29-0.58-0.288-0.29</f>
        <v>0.4360000000000002</v>
      </c>
      <c r="F285" s="115"/>
      <c r="G285" s="117"/>
      <c r="H285" s="118"/>
      <c r="I285" s="119"/>
      <c r="K285" s="84"/>
    </row>
    <row r="286" spans="1:11" s="16" customFormat="1" ht="10.5" customHeight="1">
      <c r="A286" s="113" t="s">
        <v>639</v>
      </c>
      <c r="B286" s="103" t="s">
        <v>348</v>
      </c>
      <c r="C286" s="114" t="s">
        <v>668</v>
      </c>
      <c r="D286" s="115"/>
      <c r="E286" s="116"/>
      <c r="F286" s="115"/>
      <c r="G286" s="117"/>
      <c r="H286" s="125">
        <v>3</v>
      </c>
      <c r="I286" s="119"/>
      <c r="K286" s="85">
        <v>40618</v>
      </c>
    </row>
    <row r="287" spans="1:11" s="16" customFormat="1" ht="10.5" customHeight="1">
      <c r="A287" s="113" t="s">
        <v>639</v>
      </c>
      <c r="B287" s="103" t="s">
        <v>348</v>
      </c>
      <c r="C287" s="114" t="s">
        <v>669</v>
      </c>
      <c r="D287" s="115"/>
      <c r="E287" s="116"/>
      <c r="F287" s="115"/>
      <c r="G287" s="117"/>
      <c r="H287" s="121">
        <v>2</v>
      </c>
      <c r="I287" s="119"/>
      <c r="K287" s="84"/>
    </row>
    <row r="288" spans="1:11" s="16" customFormat="1" ht="10.5" customHeight="1">
      <c r="A288" s="113" t="s">
        <v>635</v>
      </c>
      <c r="B288" s="103" t="s">
        <v>348</v>
      </c>
      <c r="C288" s="114" t="s">
        <v>670</v>
      </c>
      <c r="D288" s="115" t="s">
        <v>671</v>
      </c>
      <c r="E288" s="116">
        <v>5.34</v>
      </c>
      <c r="F288" s="115"/>
      <c r="G288" s="117"/>
      <c r="H288" s="121">
        <v>2</v>
      </c>
      <c r="I288" s="119"/>
      <c r="K288" s="84"/>
    </row>
    <row r="289" spans="1:11" s="16" customFormat="1" ht="10.5" customHeight="1">
      <c r="A289" s="113" t="s">
        <v>635</v>
      </c>
      <c r="B289" s="103" t="s">
        <v>348</v>
      </c>
      <c r="C289" s="114">
        <v>140</v>
      </c>
      <c r="D289" s="115"/>
      <c r="E289" s="116">
        <f>3.656-0.458-0.456-0.912-0.46-0.458-0.112-0.126-0.12</f>
        <v>0.5540000000000002</v>
      </c>
      <c r="F289" s="115"/>
      <c r="G289" s="117"/>
      <c r="H289" s="118"/>
      <c r="I289" s="119"/>
      <c r="K289" s="84"/>
    </row>
    <row r="290" spans="1:11" s="16" customFormat="1" ht="10.5" customHeight="1">
      <c r="A290" s="113" t="s">
        <v>639</v>
      </c>
      <c r="B290" s="103" t="s">
        <v>348</v>
      </c>
      <c r="C290" s="114" t="s">
        <v>672</v>
      </c>
      <c r="D290" s="115" t="s">
        <v>673</v>
      </c>
      <c r="E290" s="116">
        <v>4.08</v>
      </c>
      <c r="F290" s="115"/>
      <c r="G290" s="117"/>
      <c r="H290" s="118"/>
      <c r="I290" s="119"/>
      <c r="K290" s="84"/>
    </row>
    <row r="291" spans="1:11" s="16" customFormat="1" ht="10.5" customHeight="1">
      <c r="A291" s="113" t="s">
        <v>635</v>
      </c>
      <c r="B291" s="103" t="s">
        <v>348</v>
      </c>
      <c r="C291" s="114">
        <v>150</v>
      </c>
      <c r="D291" s="115"/>
      <c r="E291" s="116">
        <f>0.54+0.204</f>
        <v>0.744</v>
      </c>
      <c r="F291" s="115"/>
      <c r="G291" s="117"/>
      <c r="H291" s="118"/>
      <c r="I291" s="119"/>
      <c r="K291" s="84"/>
    </row>
    <row r="292" spans="1:11" s="16" customFormat="1" ht="10.5" customHeight="1">
      <c r="A292" s="113" t="s">
        <v>666</v>
      </c>
      <c r="B292" s="103" t="s">
        <v>348</v>
      </c>
      <c r="C292" s="114" t="s">
        <v>386</v>
      </c>
      <c r="D292" s="115" t="s">
        <v>674</v>
      </c>
      <c r="E292" s="116">
        <f>1.628-0.11-0.278-0.575</f>
        <v>0.6649999999999998</v>
      </c>
      <c r="F292" s="115"/>
      <c r="G292" s="117"/>
      <c r="H292" s="118"/>
      <c r="I292" s="119"/>
      <c r="K292" s="84"/>
    </row>
    <row r="293" spans="1:11" s="16" customFormat="1" ht="10.5" customHeight="1">
      <c r="A293" s="113" t="s">
        <v>639</v>
      </c>
      <c r="B293" s="103" t="s">
        <v>348</v>
      </c>
      <c r="C293" s="114">
        <v>150</v>
      </c>
      <c r="D293" s="115" t="s">
        <v>467</v>
      </c>
      <c r="E293" s="116">
        <f>2.54-0.524-0.21-0.5</f>
        <v>1.306</v>
      </c>
      <c r="F293" s="115"/>
      <c r="G293" s="117"/>
      <c r="H293" s="118"/>
      <c r="I293" s="119"/>
      <c r="K293" s="84"/>
    </row>
    <row r="294" spans="1:11" s="16" customFormat="1" ht="10.5" customHeight="1">
      <c r="A294" s="113" t="s">
        <v>663</v>
      </c>
      <c r="B294" s="103" t="s">
        <v>348</v>
      </c>
      <c r="C294" s="114">
        <v>150</v>
      </c>
      <c r="D294" s="115" t="s">
        <v>519</v>
      </c>
      <c r="E294" s="116">
        <f>0.194+0.164-0.194</f>
        <v>0.16399999999999998</v>
      </c>
      <c r="F294" s="115"/>
      <c r="G294" s="117"/>
      <c r="H294" s="118"/>
      <c r="I294" s="119"/>
      <c r="K294" s="84"/>
    </row>
    <row r="295" spans="1:11" s="16" customFormat="1" ht="10.5" customHeight="1">
      <c r="A295" s="113" t="s">
        <v>675</v>
      </c>
      <c r="B295" s="103" t="s">
        <v>348</v>
      </c>
      <c r="C295" s="114">
        <v>150</v>
      </c>
      <c r="D295" s="115"/>
      <c r="E295" s="116">
        <v>0.412</v>
      </c>
      <c r="F295" s="115"/>
      <c r="G295" s="117"/>
      <c r="H295" s="118"/>
      <c r="I295" s="119"/>
      <c r="K295" s="84"/>
    </row>
    <row r="296" spans="1:11" s="16" customFormat="1" ht="10.5" customHeight="1">
      <c r="A296" s="113" t="s">
        <v>676</v>
      </c>
      <c r="B296" s="103" t="s">
        <v>348</v>
      </c>
      <c r="C296" s="114">
        <v>150</v>
      </c>
      <c r="D296" s="115"/>
      <c r="E296" s="116">
        <v>0.446</v>
      </c>
      <c r="F296" s="115"/>
      <c r="G296" s="117"/>
      <c r="H296" s="118"/>
      <c r="I296" s="119"/>
      <c r="K296" s="84"/>
    </row>
    <row r="297" spans="1:11" s="16" customFormat="1" ht="10.5" customHeight="1">
      <c r="A297" s="113" t="s">
        <v>635</v>
      </c>
      <c r="B297" s="103" t="s">
        <v>348</v>
      </c>
      <c r="C297" s="114">
        <v>160</v>
      </c>
      <c r="D297" s="115" t="s">
        <v>677</v>
      </c>
      <c r="E297" s="116">
        <f>0.378+4.39-0.044-0.05-0.514-1.082-0.52-1.106</f>
        <v>1.4520000000000002</v>
      </c>
      <c r="F297" s="115"/>
      <c r="G297" s="117"/>
      <c r="H297" s="118"/>
      <c r="I297" s="119"/>
      <c r="K297" s="84"/>
    </row>
    <row r="298" spans="1:11" s="16" customFormat="1" ht="10.5" customHeight="1">
      <c r="A298" s="113" t="s">
        <v>639</v>
      </c>
      <c r="B298" s="103" t="s">
        <v>348</v>
      </c>
      <c r="C298" s="114" t="s">
        <v>678</v>
      </c>
      <c r="D298" s="115" t="s">
        <v>679</v>
      </c>
      <c r="E298" s="116">
        <f>3.55-0.506</f>
        <v>3.0439999999999996</v>
      </c>
      <c r="F298" s="115"/>
      <c r="G298" s="117"/>
      <c r="H298" s="118"/>
      <c r="I298" s="119"/>
      <c r="K298" s="84"/>
    </row>
    <row r="299" spans="1:11" s="16" customFormat="1" ht="10.5" customHeight="1">
      <c r="A299" s="113" t="s">
        <v>635</v>
      </c>
      <c r="B299" s="103" t="s">
        <v>348</v>
      </c>
      <c r="C299" s="114">
        <v>170</v>
      </c>
      <c r="D299" s="115" t="s">
        <v>680</v>
      </c>
      <c r="E299" s="116">
        <f>3.23-0.64-0.64-0.09</f>
        <v>1.8599999999999997</v>
      </c>
      <c r="F299" s="115"/>
      <c r="G299" s="117"/>
      <c r="H299" s="118"/>
      <c r="I299" s="119"/>
      <c r="K299" s="84"/>
    </row>
    <row r="300" spans="1:11" s="16" customFormat="1" ht="10.5" customHeight="1">
      <c r="A300" s="113" t="s">
        <v>666</v>
      </c>
      <c r="B300" s="103" t="s">
        <v>348</v>
      </c>
      <c r="C300" s="114">
        <v>180</v>
      </c>
      <c r="D300" s="115" t="s">
        <v>681</v>
      </c>
      <c r="E300" s="116">
        <f>2.154-0.56-0.25-0.56</f>
        <v>0.7839999999999998</v>
      </c>
      <c r="F300" s="115"/>
      <c r="G300" s="117"/>
      <c r="H300" s="118"/>
      <c r="I300" s="119"/>
      <c r="K300" s="84"/>
    </row>
    <row r="301" spans="1:11" s="16" customFormat="1" ht="10.5" customHeight="1">
      <c r="A301" s="113" t="s">
        <v>639</v>
      </c>
      <c r="B301" s="103" t="s">
        <v>348</v>
      </c>
      <c r="C301" s="114" t="s">
        <v>682</v>
      </c>
      <c r="D301" s="115" t="s">
        <v>683</v>
      </c>
      <c r="E301" s="116">
        <v>3.52</v>
      </c>
      <c r="F301" s="115"/>
      <c r="G301" s="117"/>
      <c r="H301" s="118"/>
      <c r="I301" s="119"/>
      <c r="K301" s="84"/>
    </row>
    <row r="302" spans="1:11" s="16" customFormat="1" ht="10.5" customHeight="1">
      <c r="A302" s="113" t="s">
        <v>684</v>
      </c>
      <c r="B302" s="103" t="s">
        <v>348</v>
      </c>
      <c r="C302" s="114">
        <v>185</v>
      </c>
      <c r="D302" s="115"/>
      <c r="E302" s="116">
        <v>0.362</v>
      </c>
      <c r="F302" s="115"/>
      <c r="G302" s="117"/>
      <c r="H302" s="118"/>
      <c r="I302" s="119"/>
      <c r="K302" s="84"/>
    </row>
    <row r="303" spans="1:11" s="16" customFormat="1" ht="10.5" customHeight="1">
      <c r="A303" s="113" t="s">
        <v>635</v>
      </c>
      <c r="B303" s="103" t="s">
        <v>348</v>
      </c>
      <c r="C303" s="114">
        <v>190</v>
      </c>
      <c r="D303" s="115" t="s">
        <v>685</v>
      </c>
      <c r="E303" s="116">
        <f>3.55-1.252</f>
        <v>2.298</v>
      </c>
      <c r="F303" s="115"/>
      <c r="G303" s="117"/>
      <c r="H303" s="118"/>
      <c r="I303" s="119"/>
      <c r="K303" s="84"/>
    </row>
    <row r="304" spans="1:11" s="16" customFormat="1" ht="10.5" customHeight="1">
      <c r="A304" s="113" t="s">
        <v>635</v>
      </c>
      <c r="B304" s="103" t="s">
        <v>348</v>
      </c>
      <c r="C304" s="114">
        <v>220</v>
      </c>
      <c r="D304" s="115"/>
      <c r="E304" s="116"/>
      <c r="F304" s="115"/>
      <c r="G304" s="117"/>
      <c r="H304" s="118">
        <v>4.01</v>
      </c>
      <c r="I304" s="119"/>
      <c r="K304" s="84"/>
    </row>
    <row r="305" spans="1:11" s="16" customFormat="1" ht="10.5" customHeight="1">
      <c r="A305" s="113" t="s">
        <v>635</v>
      </c>
      <c r="B305" s="103" t="s">
        <v>348</v>
      </c>
      <c r="C305" s="114">
        <v>250</v>
      </c>
      <c r="D305" s="115" t="s">
        <v>686</v>
      </c>
      <c r="E305" s="116">
        <f>2.12-1.04</f>
        <v>1.08</v>
      </c>
      <c r="F305" s="115"/>
      <c r="G305" s="117"/>
      <c r="H305" s="118"/>
      <c r="I305" s="119"/>
      <c r="K305" s="84"/>
    </row>
    <row r="306" spans="1:11" s="16" customFormat="1" ht="10.5" customHeight="1">
      <c r="A306" s="113" t="s">
        <v>635</v>
      </c>
      <c r="B306" s="103" t="s">
        <v>348</v>
      </c>
      <c r="C306" s="114">
        <v>280</v>
      </c>
      <c r="D306" s="115"/>
      <c r="E306" s="116"/>
      <c r="F306" s="115"/>
      <c r="G306" s="117"/>
      <c r="H306" s="118">
        <v>6.07</v>
      </c>
      <c r="I306" s="119"/>
      <c r="K306" s="84"/>
    </row>
    <row r="307" spans="1:11" s="16" customFormat="1" ht="10.5" customHeight="1">
      <c r="A307" s="113" t="s">
        <v>666</v>
      </c>
      <c r="B307" s="103" t="s">
        <v>348</v>
      </c>
      <c r="C307" s="114" t="s">
        <v>505</v>
      </c>
      <c r="D307" s="115" t="s">
        <v>687</v>
      </c>
      <c r="E307" s="116">
        <f>4.644-0.214</f>
        <v>4.43</v>
      </c>
      <c r="F307" s="115"/>
      <c r="G307" s="117"/>
      <c r="H307" s="118"/>
      <c r="I307" s="119"/>
      <c r="K307" s="84"/>
    </row>
    <row r="308" spans="1:11" s="16" customFormat="1" ht="10.5" customHeight="1">
      <c r="A308" s="113" t="s">
        <v>688</v>
      </c>
      <c r="B308" s="103" t="s">
        <v>370</v>
      </c>
      <c r="C308" s="114" t="s">
        <v>689</v>
      </c>
      <c r="D308" s="115" t="s">
        <v>690</v>
      </c>
      <c r="E308" s="116">
        <v>0.06</v>
      </c>
      <c r="F308" s="115"/>
      <c r="G308" s="117"/>
      <c r="H308" s="118"/>
      <c r="I308" s="119"/>
      <c r="K308" s="84"/>
    </row>
    <row r="309" spans="1:11" s="16" customFormat="1" ht="10.5" customHeight="1">
      <c r="A309" s="113" t="s">
        <v>635</v>
      </c>
      <c r="B309" s="103" t="s">
        <v>370</v>
      </c>
      <c r="C309" s="114" t="s">
        <v>691</v>
      </c>
      <c r="D309" s="115" t="s">
        <v>692</v>
      </c>
      <c r="E309" s="116">
        <f>1.046-0.112</f>
        <v>0.934</v>
      </c>
      <c r="F309" s="115"/>
      <c r="G309" s="117"/>
      <c r="H309" s="118"/>
      <c r="I309" s="119"/>
      <c r="K309" s="84"/>
    </row>
    <row r="310" spans="1:11" s="16" customFormat="1" ht="10.5" customHeight="1">
      <c r="A310" s="113" t="s">
        <v>693</v>
      </c>
      <c r="B310" s="103" t="s">
        <v>370</v>
      </c>
      <c r="C310" s="114" t="s">
        <v>694</v>
      </c>
      <c r="D310" s="115"/>
      <c r="E310" s="116"/>
      <c r="F310" s="115" t="s">
        <v>695</v>
      </c>
      <c r="G310" s="117">
        <v>0.363</v>
      </c>
      <c r="H310" s="118"/>
      <c r="I310" s="119"/>
      <c r="K310" s="84"/>
    </row>
    <row r="311" spans="1:11" s="16" customFormat="1" ht="10.5" customHeight="1">
      <c r="A311" s="113" t="s">
        <v>693</v>
      </c>
      <c r="B311" s="103" t="s">
        <v>370</v>
      </c>
      <c r="C311" s="114" t="s">
        <v>696</v>
      </c>
      <c r="D311" s="115"/>
      <c r="E311" s="116"/>
      <c r="F311" s="115" t="s">
        <v>697</v>
      </c>
      <c r="G311" s="117">
        <v>0.154</v>
      </c>
      <c r="H311" s="118"/>
      <c r="I311" s="119"/>
      <c r="K311" s="84"/>
    </row>
    <row r="312" spans="1:11" s="16" customFormat="1" ht="10.5" customHeight="1">
      <c r="A312" s="113" t="s">
        <v>639</v>
      </c>
      <c r="B312" s="103" t="s">
        <v>370</v>
      </c>
      <c r="C312" s="114" t="s">
        <v>553</v>
      </c>
      <c r="D312" s="115"/>
      <c r="E312" s="116"/>
      <c r="F312" s="115" t="s">
        <v>698</v>
      </c>
      <c r="G312" s="117">
        <v>0.427</v>
      </c>
      <c r="H312" s="118"/>
      <c r="I312" s="119"/>
      <c r="K312" s="84"/>
    </row>
    <row r="313" spans="1:11" s="16" customFormat="1" ht="10.5" customHeight="1">
      <c r="A313" s="113" t="s">
        <v>699</v>
      </c>
      <c r="B313" s="103" t="s">
        <v>370</v>
      </c>
      <c r="C313" s="114" t="s">
        <v>700</v>
      </c>
      <c r="D313" s="115"/>
      <c r="E313" s="116"/>
      <c r="F313" s="115" t="s">
        <v>697</v>
      </c>
      <c r="G313" s="117">
        <v>0.451</v>
      </c>
      <c r="H313" s="118"/>
      <c r="I313" s="119"/>
      <c r="K313" s="84"/>
    </row>
    <row r="314" spans="1:11" s="16" customFormat="1" ht="10.5" customHeight="1">
      <c r="A314" s="113" t="s">
        <v>699</v>
      </c>
      <c r="B314" s="103" t="s">
        <v>370</v>
      </c>
      <c r="C314" s="114" t="s">
        <v>371</v>
      </c>
      <c r="D314" s="115"/>
      <c r="E314" s="116"/>
      <c r="F314" s="115" t="s">
        <v>701</v>
      </c>
      <c r="G314" s="117">
        <v>0.52</v>
      </c>
      <c r="H314" s="118"/>
      <c r="I314" s="119"/>
      <c r="K314" s="84"/>
    </row>
    <row r="315" spans="1:11" s="16" customFormat="1" ht="10.5" customHeight="1">
      <c r="A315" s="113" t="s">
        <v>699</v>
      </c>
      <c r="B315" s="103" t="s">
        <v>370</v>
      </c>
      <c r="C315" s="114" t="s">
        <v>702</v>
      </c>
      <c r="D315" s="115"/>
      <c r="E315" s="116"/>
      <c r="F315" s="115" t="s">
        <v>703</v>
      </c>
      <c r="G315" s="117">
        <v>0.587</v>
      </c>
      <c r="H315" s="118"/>
      <c r="I315" s="119"/>
      <c r="K315" s="84"/>
    </row>
    <row r="316" spans="1:11" s="16" customFormat="1" ht="10.5" customHeight="1">
      <c r="A316" s="113" t="s">
        <v>639</v>
      </c>
      <c r="B316" s="103" t="s">
        <v>370</v>
      </c>
      <c r="C316" s="114" t="s">
        <v>704</v>
      </c>
      <c r="D316" s="115"/>
      <c r="E316" s="116"/>
      <c r="F316" s="115" t="s">
        <v>705</v>
      </c>
      <c r="G316" s="117">
        <v>0.57</v>
      </c>
      <c r="H316" s="118"/>
      <c r="I316" s="119"/>
      <c r="K316" s="84"/>
    </row>
    <row r="317" spans="1:11" s="16" customFormat="1" ht="10.5" customHeight="1">
      <c r="A317" s="113" t="s">
        <v>699</v>
      </c>
      <c r="B317" s="103" t="s">
        <v>370</v>
      </c>
      <c r="C317" s="114" t="s">
        <v>706</v>
      </c>
      <c r="D317" s="115"/>
      <c r="E317" s="116"/>
      <c r="F317" s="115" t="s">
        <v>707</v>
      </c>
      <c r="G317" s="117">
        <v>1.235</v>
      </c>
      <c r="H317" s="118"/>
      <c r="I317" s="119"/>
      <c r="K317" s="84"/>
    </row>
    <row r="318" spans="1:11" s="16" customFormat="1" ht="10.5" customHeight="1">
      <c r="A318" s="113" t="s">
        <v>708</v>
      </c>
      <c r="B318" s="103" t="s">
        <v>364</v>
      </c>
      <c r="C318" s="114" t="s">
        <v>709</v>
      </c>
      <c r="D318" s="115"/>
      <c r="E318" s="116">
        <f>0.922-0.49</f>
        <v>0.43200000000000005</v>
      </c>
      <c r="F318" s="115"/>
      <c r="G318" s="117"/>
      <c r="H318" s="118"/>
      <c r="I318" s="119"/>
      <c r="K318" s="84"/>
    </row>
    <row r="319" spans="1:11" s="16" customFormat="1" ht="10.5" customHeight="1">
      <c r="A319" s="113" t="s">
        <v>639</v>
      </c>
      <c r="B319" s="103" t="s">
        <v>364</v>
      </c>
      <c r="C319" s="114" t="s">
        <v>710</v>
      </c>
      <c r="D319" s="115"/>
      <c r="E319" s="116">
        <v>0.072</v>
      </c>
      <c r="F319" s="115"/>
      <c r="G319" s="117"/>
      <c r="H319" s="118"/>
      <c r="I319" s="119"/>
      <c r="K319" s="84"/>
    </row>
    <row r="320" spans="1:11" s="16" customFormat="1" ht="10.5" customHeight="1">
      <c r="A320" s="113" t="s">
        <v>639</v>
      </c>
      <c r="B320" s="103" t="s">
        <v>364</v>
      </c>
      <c r="C320" s="114" t="s">
        <v>711</v>
      </c>
      <c r="D320" s="115" t="s">
        <v>712</v>
      </c>
      <c r="E320" s="116">
        <v>0.064</v>
      </c>
      <c r="F320" s="115"/>
      <c r="G320" s="117"/>
      <c r="H320" s="118"/>
      <c r="I320" s="123"/>
      <c r="K320" s="84"/>
    </row>
    <row r="321" spans="1:11" s="16" customFormat="1" ht="10.5" customHeight="1">
      <c r="A321" s="113" t="s">
        <v>639</v>
      </c>
      <c r="B321" s="103" t="s">
        <v>364</v>
      </c>
      <c r="C321" s="114" t="s">
        <v>713</v>
      </c>
      <c r="D321" s="115" t="s">
        <v>456</v>
      </c>
      <c r="E321" s="116">
        <v>1.45</v>
      </c>
      <c r="F321" s="115"/>
      <c r="G321" s="117"/>
      <c r="H321" s="118"/>
      <c r="I321" s="119"/>
      <c r="K321" s="84"/>
    </row>
    <row r="322" spans="1:11" s="16" customFormat="1" ht="10.5" customHeight="1">
      <c r="A322" s="113" t="s">
        <v>639</v>
      </c>
      <c r="B322" s="103" t="s">
        <v>364</v>
      </c>
      <c r="C322" s="114" t="s">
        <v>714</v>
      </c>
      <c r="D322" s="115"/>
      <c r="E322" s="116">
        <v>1.1</v>
      </c>
      <c r="F322" s="115"/>
      <c r="G322" s="117"/>
      <c r="H322" s="118"/>
      <c r="I322" s="123" t="s">
        <v>398</v>
      </c>
      <c r="J322" s="16" t="s">
        <v>715</v>
      </c>
      <c r="K322" s="84"/>
    </row>
    <row r="323" spans="1:11" s="16" customFormat="1" ht="10.5" customHeight="1">
      <c r="A323" s="113" t="s">
        <v>639</v>
      </c>
      <c r="B323" s="103" t="s">
        <v>364</v>
      </c>
      <c r="C323" s="114" t="s">
        <v>716</v>
      </c>
      <c r="D323" s="115"/>
      <c r="E323" s="116">
        <v>0.3</v>
      </c>
      <c r="F323" s="115"/>
      <c r="G323" s="117"/>
      <c r="H323" s="118"/>
      <c r="I323" s="123" t="s">
        <v>398</v>
      </c>
      <c r="J323" s="16" t="s">
        <v>715</v>
      </c>
      <c r="K323" s="84"/>
    </row>
    <row r="324" spans="1:11" s="16" customFormat="1" ht="10.5" customHeight="1">
      <c r="A324" s="113" t="s">
        <v>639</v>
      </c>
      <c r="B324" s="103" t="s">
        <v>399</v>
      </c>
      <c r="C324" s="114" t="s">
        <v>717</v>
      </c>
      <c r="D324" s="115" t="s">
        <v>718</v>
      </c>
      <c r="E324" s="116">
        <v>2.15</v>
      </c>
      <c r="F324" s="115"/>
      <c r="G324" s="117"/>
      <c r="H324" s="118"/>
      <c r="I324" s="119"/>
      <c r="K324" s="84"/>
    </row>
    <row r="325" spans="1:11" s="16" customFormat="1" ht="10.5" customHeight="1">
      <c r="A325" s="113" t="s">
        <v>719</v>
      </c>
      <c r="B325" s="103" t="s">
        <v>348</v>
      </c>
      <c r="C325" s="114">
        <v>18</v>
      </c>
      <c r="D325" s="115" t="s">
        <v>720</v>
      </c>
      <c r="E325" s="116">
        <f>0.44-0.036</f>
        <v>0.404</v>
      </c>
      <c r="F325" s="115"/>
      <c r="G325" s="122"/>
      <c r="H325" s="118"/>
      <c r="I325" s="119"/>
      <c r="K325" s="84"/>
    </row>
    <row r="326" spans="1:11" s="16" customFormat="1" ht="10.5" customHeight="1">
      <c r="A326" s="113" t="s">
        <v>719</v>
      </c>
      <c r="B326" s="103" t="s">
        <v>348</v>
      </c>
      <c r="C326" s="114">
        <v>20</v>
      </c>
      <c r="D326" s="115"/>
      <c r="E326" s="116"/>
      <c r="F326" s="115" t="s">
        <v>442</v>
      </c>
      <c r="G326" s="122">
        <f>0.896+1.878-0.012-0.107-0.05-0.05</f>
        <v>2.555</v>
      </c>
      <c r="H326" s="118"/>
      <c r="I326" s="119"/>
      <c r="K326" s="84"/>
    </row>
    <row r="327" spans="1:11" s="16" customFormat="1" ht="10.5" customHeight="1">
      <c r="A327" s="113" t="s">
        <v>719</v>
      </c>
      <c r="B327" s="103" t="s">
        <v>348</v>
      </c>
      <c r="C327" s="114">
        <v>25</v>
      </c>
      <c r="D327" s="115"/>
      <c r="E327" s="116">
        <f>0.078-0.058</f>
        <v>0.019999999999999997</v>
      </c>
      <c r="F327" s="115" t="s">
        <v>721</v>
      </c>
      <c r="G327" s="122">
        <f>0.946+1.11-0.125-0.175-0.003-0.16</f>
        <v>1.5930000000000002</v>
      </c>
      <c r="H327" s="118"/>
      <c r="I327" s="119"/>
      <c r="K327" s="84"/>
    </row>
    <row r="328" spans="1:11" s="16" customFormat="1" ht="10.5" customHeight="1">
      <c r="A328" s="113" t="s">
        <v>719</v>
      </c>
      <c r="B328" s="103" t="s">
        <v>348</v>
      </c>
      <c r="C328" s="114" t="s">
        <v>722</v>
      </c>
      <c r="D328" s="115"/>
      <c r="E328" s="116"/>
      <c r="F328" s="115"/>
      <c r="G328" s="122"/>
      <c r="H328" s="121">
        <v>1</v>
      </c>
      <c r="I328" s="119"/>
      <c r="K328" s="84"/>
    </row>
    <row r="329" spans="1:11" s="16" customFormat="1" ht="10.5" customHeight="1">
      <c r="A329" s="113" t="s">
        <v>719</v>
      </c>
      <c r="B329" s="103" t="s">
        <v>348</v>
      </c>
      <c r="C329" s="114" t="s">
        <v>402</v>
      </c>
      <c r="D329" s="115"/>
      <c r="E329" s="120">
        <v>0.27</v>
      </c>
      <c r="F329" s="115"/>
      <c r="G329" s="117"/>
      <c r="H329" s="118"/>
      <c r="I329" s="119"/>
      <c r="K329" s="84"/>
    </row>
    <row r="330" spans="1:11" s="16" customFormat="1" ht="10.5" customHeight="1">
      <c r="A330" s="113" t="s">
        <v>719</v>
      </c>
      <c r="B330" s="103" t="s">
        <v>348</v>
      </c>
      <c r="C330" s="114">
        <v>45</v>
      </c>
      <c r="D330" s="115" t="s">
        <v>723</v>
      </c>
      <c r="E330" s="116">
        <f>2.236-0.522-0.634-0.166-0.046-0.05-0.056-0.04</f>
        <v>0.7219999999999999</v>
      </c>
      <c r="F330" s="115" t="s">
        <v>723</v>
      </c>
      <c r="G330" s="122">
        <f>0.634-0.146</f>
        <v>0.488</v>
      </c>
      <c r="H330" s="118"/>
      <c r="I330" s="119">
        <v>0.126</v>
      </c>
      <c r="J330" s="16" t="s">
        <v>390</v>
      </c>
      <c r="K330" s="84"/>
    </row>
    <row r="331" spans="1:11" s="16" customFormat="1" ht="10.5" customHeight="1">
      <c r="A331" s="113" t="s">
        <v>719</v>
      </c>
      <c r="B331" s="103" t="s">
        <v>348</v>
      </c>
      <c r="C331" s="114">
        <v>50</v>
      </c>
      <c r="D331" s="115" t="s">
        <v>724</v>
      </c>
      <c r="E331" s="116">
        <f>1.5-0.05-0.05-0.1</f>
        <v>1.2999999999999998</v>
      </c>
      <c r="F331" s="115"/>
      <c r="G331" s="122"/>
      <c r="H331" s="118"/>
      <c r="I331" s="119">
        <f>0.05</f>
        <v>0.05</v>
      </c>
      <c r="J331" s="16" t="s">
        <v>609</v>
      </c>
      <c r="K331" s="84"/>
    </row>
    <row r="332" spans="1:11" s="16" customFormat="1" ht="10.5" customHeight="1">
      <c r="A332" s="113" t="s">
        <v>719</v>
      </c>
      <c r="B332" s="103" t="s">
        <v>348</v>
      </c>
      <c r="C332" s="114">
        <v>56</v>
      </c>
      <c r="D332" s="115" t="s">
        <v>725</v>
      </c>
      <c r="E332" s="116">
        <v>0.462</v>
      </c>
      <c r="F332" s="115"/>
      <c r="G332" s="117"/>
      <c r="H332" s="118"/>
      <c r="I332" s="119"/>
      <c r="K332" s="84"/>
    </row>
    <row r="333" spans="1:11" s="16" customFormat="1" ht="10.5" customHeight="1">
      <c r="A333" s="113" t="s">
        <v>719</v>
      </c>
      <c r="B333" s="103" t="s">
        <v>348</v>
      </c>
      <c r="C333" s="114">
        <v>58</v>
      </c>
      <c r="D333" s="115" t="s">
        <v>720</v>
      </c>
      <c r="E333" s="116">
        <v>0.068</v>
      </c>
      <c r="F333" s="115"/>
      <c r="G333" s="117"/>
      <c r="H333" s="118"/>
      <c r="I333" s="119"/>
      <c r="K333" s="84"/>
    </row>
    <row r="334" spans="1:11" s="16" customFormat="1" ht="10.5" customHeight="1">
      <c r="A334" s="113" t="s">
        <v>719</v>
      </c>
      <c r="B334" s="103" t="s">
        <v>348</v>
      </c>
      <c r="C334" s="114">
        <v>60</v>
      </c>
      <c r="D334" s="115" t="s">
        <v>726</v>
      </c>
      <c r="E334" s="116">
        <f>2.076+1.566-0.058-0.044-0.514-0.236-0.06-0.066-0.174</f>
        <v>2.490000000000001</v>
      </c>
      <c r="F334" s="115"/>
      <c r="G334" s="117"/>
      <c r="H334" s="118"/>
      <c r="I334" s="119"/>
      <c r="K334" s="84"/>
    </row>
    <row r="335" spans="1:11" s="16" customFormat="1" ht="10.5" customHeight="1">
      <c r="A335" s="113" t="s">
        <v>719</v>
      </c>
      <c r="B335" s="103" t="s">
        <v>348</v>
      </c>
      <c r="C335" s="114">
        <v>70</v>
      </c>
      <c r="D335" s="115" t="s">
        <v>727</v>
      </c>
      <c r="E335" s="116">
        <f>1.194-0.132-0.25</f>
        <v>0.8119999999999998</v>
      </c>
      <c r="F335" s="115" t="s">
        <v>727</v>
      </c>
      <c r="G335" s="122">
        <f>0.25-0.037-0.12</f>
        <v>0.093</v>
      </c>
      <c r="H335" s="118"/>
      <c r="I335" s="119"/>
      <c r="K335" s="84"/>
    </row>
    <row r="336" spans="1:11" s="16" customFormat="1" ht="10.5" customHeight="1">
      <c r="A336" s="113" t="s">
        <v>719</v>
      </c>
      <c r="B336" s="103" t="s">
        <v>348</v>
      </c>
      <c r="C336" s="114" t="s">
        <v>728</v>
      </c>
      <c r="D336" s="115"/>
      <c r="E336" s="116">
        <v>1.01</v>
      </c>
      <c r="F336" s="115"/>
      <c r="G336" s="117"/>
      <c r="H336" s="118"/>
      <c r="I336" s="119"/>
      <c r="K336" s="84"/>
    </row>
    <row r="337" spans="1:11" s="16" customFormat="1" ht="10.5" customHeight="1">
      <c r="A337" s="113" t="s">
        <v>719</v>
      </c>
      <c r="B337" s="103" t="s">
        <v>348</v>
      </c>
      <c r="C337" s="114">
        <v>80</v>
      </c>
      <c r="D337" s="115" t="s">
        <v>729</v>
      </c>
      <c r="E337" s="116">
        <f>1.468-0.054-0.104-0.176-0.464+1.03-0.12-0.344-0.114-0.574-0.194-0.112</f>
        <v>0.24200000000000016</v>
      </c>
      <c r="F337" s="115"/>
      <c r="G337" s="122"/>
      <c r="H337" s="118"/>
      <c r="I337" s="119"/>
      <c r="K337" s="84"/>
    </row>
    <row r="338" spans="1:11" s="16" customFormat="1" ht="10.5" customHeight="1">
      <c r="A338" s="113" t="s">
        <v>719</v>
      </c>
      <c r="B338" s="103" t="s">
        <v>348</v>
      </c>
      <c r="C338" s="114">
        <v>85</v>
      </c>
      <c r="D338" s="115" t="s">
        <v>730</v>
      </c>
      <c r="E338" s="116">
        <f>0.92-0.28</f>
        <v>0.64</v>
      </c>
      <c r="F338" s="115"/>
      <c r="G338" s="117"/>
      <c r="H338" s="118"/>
      <c r="I338" s="119"/>
      <c r="K338" s="84"/>
    </row>
    <row r="339" spans="1:11" s="16" customFormat="1" ht="10.5" customHeight="1">
      <c r="A339" s="113" t="s">
        <v>719</v>
      </c>
      <c r="B339" s="103" t="s">
        <v>348</v>
      </c>
      <c r="C339" s="114">
        <v>90</v>
      </c>
      <c r="D339" s="115"/>
      <c r="E339" s="116"/>
      <c r="F339" s="115" t="s">
        <v>731</v>
      </c>
      <c r="G339" s="122">
        <f>0.48+0.902+0.624+0.22-0.236</f>
        <v>1.9900000000000004</v>
      </c>
      <c r="H339" s="118"/>
      <c r="I339" s="119"/>
      <c r="K339" s="84"/>
    </row>
    <row r="340" spans="1:11" s="16" customFormat="1" ht="10.5" customHeight="1">
      <c r="A340" s="113" t="s">
        <v>719</v>
      </c>
      <c r="B340" s="103" t="s">
        <v>348</v>
      </c>
      <c r="C340" s="114">
        <v>95</v>
      </c>
      <c r="D340" s="115"/>
      <c r="E340" s="116"/>
      <c r="F340" s="115"/>
      <c r="G340" s="122">
        <v>0.14</v>
      </c>
      <c r="H340" s="118"/>
      <c r="I340" s="119"/>
      <c r="K340" s="84"/>
    </row>
    <row r="341" spans="1:11" s="16" customFormat="1" ht="10.5" customHeight="1">
      <c r="A341" s="113" t="s">
        <v>719</v>
      </c>
      <c r="B341" s="103" t="s">
        <v>348</v>
      </c>
      <c r="C341" s="114">
        <v>100</v>
      </c>
      <c r="D341" s="115" t="s">
        <v>732</v>
      </c>
      <c r="E341" s="116">
        <f>4.236-0.076-0.068-1.06-0.182-0.764-0.534-0.144+1.826-0.048</f>
        <v>3.1860000000000004</v>
      </c>
      <c r="F341" s="115" t="s">
        <v>733</v>
      </c>
      <c r="G341" s="122">
        <f>1.06+0.182+0.764+0.534+0.144-0.456-0.265</f>
        <v>1.963</v>
      </c>
      <c r="H341" s="118"/>
      <c r="I341" s="119"/>
      <c r="K341" s="84"/>
    </row>
    <row r="342" spans="1:11" s="16" customFormat="1" ht="10.5" customHeight="1">
      <c r="A342" s="113" t="s">
        <v>719</v>
      </c>
      <c r="B342" s="103" t="s">
        <v>348</v>
      </c>
      <c r="C342" s="114" t="s">
        <v>734</v>
      </c>
      <c r="D342" s="115"/>
      <c r="E342" s="116"/>
      <c r="F342" s="115" t="s">
        <v>735</v>
      </c>
      <c r="G342" s="122">
        <v>0.118</v>
      </c>
      <c r="H342" s="118"/>
      <c r="I342" s="119"/>
      <c r="K342" s="84"/>
    </row>
    <row r="343" spans="1:11" s="16" customFormat="1" ht="10.5" customHeight="1">
      <c r="A343" s="113" t="s">
        <v>719</v>
      </c>
      <c r="B343" s="103" t="s">
        <v>348</v>
      </c>
      <c r="C343" s="114" t="s">
        <v>736</v>
      </c>
      <c r="D343" s="115"/>
      <c r="E343" s="120">
        <f>3.23-0.38</f>
        <v>2.85</v>
      </c>
      <c r="F343" s="115"/>
      <c r="G343" s="117"/>
      <c r="H343" s="118"/>
      <c r="I343" s="119"/>
      <c r="K343" s="84"/>
    </row>
    <row r="344" spans="1:11" s="16" customFormat="1" ht="10.5" customHeight="1">
      <c r="A344" s="113" t="s">
        <v>719</v>
      </c>
      <c r="B344" s="103" t="s">
        <v>348</v>
      </c>
      <c r="C344" s="114" t="s">
        <v>413</v>
      </c>
      <c r="D344" s="115" t="s">
        <v>442</v>
      </c>
      <c r="E344" s="120">
        <v>2.47</v>
      </c>
      <c r="F344" s="115"/>
      <c r="G344" s="117"/>
      <c r="H344" s="118"/>
      <c r="I344" s="119"/>
      <c r="K344" s="84"/>
    </row>
    <row r="345" spans="1:11" s="16" customFormat="1" ht="10.5" customHeight="1">
      <c r="A345" s="113" t="s">
        <v>719</v>
      </c>
      <c r="B345" s="103" t="s">
        <v>348</v>
      </c>
      <c r="C345" s="114" t="s">
        <v>415</v>
      </c>
      <c r="D345" s="115" t="s">
        <v>737</v>
      </c>
      <c r="E345" s="120">
        <f>2.13-1.077</f>
        <v>1.053</v>
      </c>
      <c r="F345" s="115"/>
      <c r="G345" s="117"/>
      <c r="H345" s="121">
        <v>1</v>
      </c>
      <c r="I345" s="119"/>
      <c r="K345" s="84"/>
    </row>
    <row r="346" spans="1:11" s="16" customFormat="1" ht="10.5" customHeight="1">
      <c r="A346" s="113" t="s">
        <v>719</v>
      </c>
      <c r="B346" s="103" t="s">
        <v>348</v>
      </c>
      <c r="C346" s="114" t="s">
        <v>482</v>
      </c>
      <c r="D346" s="115"/>
      <c r="E346" s="116">
        <f>0.422+1.3-0.256-0.106-0.268-0.26-0.076-0.228-0.216-0.206</f>
        <v>0.10599999999999996</v>
      </c>
      <c r="F346" s="115"/>
      <c r="G346" s="122"/>
      <c r="H346" s="118"/>
      <c r="I346" s="119"/>
      <c r="K346" s="84"/>
    </row>
    <row r="347" spans="1:11" s="16" customFormat="1" ht="10.5" customHeight="1">
      <c r="A347" s="113" t="s">
        <v>719</v>
      </c>
      <c r="B347" s="103" t="s">
        <v>348</v>
      </c>
      <c r="C347" s="114" t="s">
        <v>386</v>
      </c>
      <c r="D347" s="115" t="s">
        <v>738</v>
      </c>
      <c r="E347" s="116">
        <f>1.95-0.37-0.354</f>
        <v>1.226</v>
      </c>
      <c r="F347" s="115"/>
      <c r="G347" s="117"/>
      <c r="H347" s="118"/>
      <c r="I347" s="119"/>
      <c r="K347" s="84"/>
    </row>
    <row r="348" spans="1:11" s="16" customFormat="1" ht="10.5" customHeight="1">
      <c r="A348" s="113" t="s">
        <v>719</v>
      </c>
      <c r="B348" s="103" t="s">
        <v>348</v>
      </c>
      <c r="C348" s="114" t="s">
        <v>739</v>
      </c>
      <c r="D348" s="115" t="s">
        <v>740</v>
      </c>
      <c r="E348" s="116">
        <f>0.626+2.622-0.29-0.202-0.276</f>
        <v>2.4799999999999995</v>
      </c>
      <c r="F348" s="115"/>
      <c r="G348" s="117"/>
      <c r="H348" s="118"/>
      <c r="I348" s="119"/>
      <c r="K348" s="84"/>
    </row>
    <row r="349" spans="1:11" s="16" customFormat="1" ht="10.5" customHeight="1">
      <c r="A349" s="113" t="s">
        <v>719</v>
      </c>
      <c r="B349" s="103" t="s">
        <v>348</v>
      </c>
      <c r="C349" s="114" t="s">
        <v>741</v>
      </c>
      <c r="D349" s="115"/>
      <c r="E349" s="116">
        <v>0.58</v>
      </c>
      <c r="F349" s="115"/>
      <c r="G349" s="117"/>
      <c r="H349" s="118"/>
      <c r="I349" s="119"/>
      <c r="K349" s="84"/>
    </row>
    <row r="350" spans="1:11" s="16" customFormat="1" ht="10.5" customHeight="1">
      <c r="A350" s="113" t="s">
        <v>719</v>
      </c>
      <c r="B350" s="103" t="s">
        <v>348</v>
      </c>
      <c r="C350" s="114" t="s">
        <v>742</v>
      </c>
      <c r="D350" s="115" t="s">
        <v>743</v>
      </c>
      <c r="E350" s="124">
        <v>0.54</v>
      </c>
      <c r="F350" s="115"/>
      <c r="G350" s="117"/>
      <c r="H350" s="121"/>
      <c r="I350" s="119"/>
      <c r="K350" s="84"/>
    </row>
    <row r="351" spans="1:11" s="16" customFormat="1" ht="10.5" customHeight="1">
      <c r="A351" s="113" t="s">
        <v>719</v>
      </c>
      <c r="B351" s="103" t="s">
        <v>348</v>
      </c>
      <c r="C351" s="114" t="s">
        <v>744</v>
      </c>
      <c r="D351" s="115" t="s">
        <v>745</v>
      </c>
      <c r="E351" s="120">
        <v>2.13</v>
      </c>
      <c r="F351" s="115"/>
      <c r="G351" s="117"/>
      <c r="H351" s="121"/>
      <c r="I351" s="119"/>
      <c r="K351" s="84"/>
    </row>
    <row r="352" spans="1:11" s="16" customFormat="1" ht="10.5" customHeight="1">
      <c r="A352" s="113" t="s">
        <v>719</v>
      </c>
      <c r="B352" s="103" t="s">
        <v>348</v>
      </c>
      <c r="C352" s="114" t="s">
        <v>746</v>
      </c>
      <c r="D352" s="115"/>
      <c r="E352" s="120">
        <f>2.8-0.57</f>
        <v>2.23</v>
      </c>
      <c r="F352" s="115"/>
      <c r="G352" s="117"/>
      <c r="H352" s="121"/>
      <c r="I352" s="119"/>
      <c r="K352" s="84"/>
    </row>
    <row r="353" spans="1:11" s="16" customFormat="1" ht="10.5" customHeight="1">
      <c r="A353" s="113" t="s">
        <v>719</v>
      </c>
      <c r="B353" s="103" t="s">
        <v>348</v>
      </c>
      <c r="C353" s="114" t="s">
        <v>747</v>
      </c>
      <c r="D353" s="115" t="s">
        <v>748</v>
      </c>
      <c r="E353" s="116">
        <f>5.04-0.522-0.526-0.47-0.52-0.49-0.518-0.5-0.484-0.092</f>
        <v>0.9180000000000005</v>
      </c>
      <c r="F353" s="115"/>
      <c r="G353" s="122"/>
      <c r="H353" s="118"/>
      <c r="I353" s="119">
        <v>0.5</v>
      </c>
      <c r="K353" s="84"/>
    </row>
    <row r="354" spans="1:11" s="16" customFormat="1" ht="10.5" customHeight="1">
      <c r="A354" s="113" t="s">
        <v>719</v>
      </c>
      <c r="B354" s="103" t="s">
        <v>348</v>
      </c>
      <c r="C354" s="114" t="s">
        <v>500</v>
      </c>
      <c r="D354" s="115" t="s">
        <v>748</v>
      </c>
      <c r="E354" s="116">
        <f>2.102-0.546-0.534</f>
        <v>1.0219999999999998</v>
      </c>
      <c r="F354" s="115"/>
      <c r="G354" s="122"/>
      <c r="H354" s="118"/>
      <c r="I354" s="119"/>
      <c r="K354" s="84"/>
    </row>
    <row r="355" spans="1:11" s="16" customFormat="1" ht="10.5" customHeight="1">
      <c r="A355" s="113" t="s">
        <v>719</v>
      </c>
      <c r="B355" s="103" t="s">
        <v>348</v>
      </c>
      <c r="C355" s="114" t="s">
        <v>749</v>
      </c>
      <c r="D355" s="115"/>
      <c r="E355" s="116">
        <v>1.46</v>
      </c>
      <c r="F355" s="115"/>
      <c r="G355" s="117"/>
      <c r="H355" s="118"/>
      <c r="I355" s="119"/>
      <c r="K355" s="84"/>
    </row>
    <row r="356" spans="1:11" s="16" customFormat="1" ht="10.5" customHeight="1">
      <c r="A356" s="113" t="s">
        <v>719</v>
      </c>
      <c r="B356" s="103" t="s">
        <v>348</v>
      </c>
      <c r="C356" s="114" t="s">
        <v>750</v>
      </c>
      <c r="D356" s="115" t="s">
        <v>392</v>
      </c>
      <c r="E356" s="116">
        <f>1.014+1.086-1.014</f>
        <v>1.086</v>
      </c>
      <c r="F356" s="115"/>
      <c r="G356" s="117"/>
      <c r="H356" s="118"/>
      <c r="I356" s="119"/>
      <c r="K356" s="84"/>
    </row>
    <row r="357" spans="1:11" s="16" customFormat="1" ht="10.5" customHeight="1">
      <c r="A357" s="113" t="s">
        <v>719</v>
      </c>
      <c r="B357" s="103" t="s">
        <v>364</v>
      </c>
      <c r="C357" s="114" t="s">
        <v>751</v>
      </c>
      <c r="D357" s="115" t="s">
        <v>752</v>
      </c>
      <c r="E357" s="116">
        <f>1.5-0.198</f>
        <v>1.302</v>
      </c>
      <c r="F357" s="115"/>
      <c r="G357" s="117"/>
      <c r="H357" s="118"/>
      <c r="I357" s="119"/>
      <c r="K357" s="84"/>
    </row>
    <row r="358" spans="1:11" s="16" customFormat="1" ht="10.5" customHeight="1">
      <c r="A358" s="113" t="s">
        <v>753</v>
      </c>
      <c r="B358" s="103" t="s">
        <v>348</v>
      </c>
      <c r="C358" s="114">
        <v>50</v>
      </c>
      <c r="D358" s="115" t="s">
        <v>754</v>
      </c>
      <c r="E358" s="116">
        <f>0.086+0.23-0.008-0.036</f>
        <v>0.272</v>
      </c>
      <c r="F358" s="115" t="s">
        <v>755</v>
      </c>
      <c r="G358" s="122">
        <f>1.988+1.7+0.184+0.736-0.26-0.485</f>
        <v>3.863</v>
      </c>
      <c r="H358" s="118"/>
      <c r="I358" s="119"/>
      <c r="K358" s="84"/>
    </row>
    <row r="359" spans="1:11" s="16" customFormat="1" ht="10.5" customHeight="1">
      <c r="A359" s="113" t="s">
        <v>756</v>
      </c>
      <c r="B359" s="103" t="s">
        <v>348</v>
      </c>
      <c r="C359" s="114">
        <v>65</v>
      </c>
      <c r="D359" s="115"/>
      <c r="E359" s="116"/>
      <c r="F359" s="115" t="s">
        <v>612</v>
      </c>
      <c r="G359" s="122">
        <v>0.59</v>
      </c>
      <c r="H359" s="118"/>
      <c r="I359" s="123"/>
      <c r="K359" s="84"/>
    </row>
    <row r="360" spans="1:11" s="16" customFormat="1" ht="10.5" customHeight="1">
      <c r="A360" s="113" t="s">
        <v>756</v>
      </c>
      <c r="B360" s="103" t="s">
        <v>348</v>
      </c>
      <c r="C360" s="114">
        <v>70</v>
      </c>
      <c r="D360" s="115" t="s">
        <v>757</v>
      </c>
      <c r="E360" s="116">
        <f>1.1-0.086</f>
        <v>1.014</v>
      </c>
      <c r="F360" s="115"/>
      <c r="G360" s="117"/>
      <c r="H360" s="118"/>
      <c r="I360" s="119"/>
      <c r="K360" s="84"/>
    </row>
    <row r="361" spans="1:11" s="16" customFormat="1" ht="10.5" customHeight="1">
      <c r="A361" s="113" t="s">
        <v>756</v>
      </c>
      <c r="B361" s="103" t="s">
        <v>348</v>
      </c>
      <c r="C361" s="114" t="s">
        <v>369</v>
      </c>
      <c r="D361" s="115"/>
      <c r="E361" s="116">
        <v>0.29</v>
      </c>
      <c r="F361" s="115"/>
      <c r="G361" s="122"/>
      <c r="H361" s="118"/>
      <c r="I361" s="123"/>
      <c r="K361" s="84"/>
    </row>
    <row r="362" spans="1:11" s="16" customFormat="1" ht="10.5" customHeight="1">
      <c r="A362" s="113" t="s">
        <v>756</v>
      </c>
      <c r="B362" s="103" t="s">
        <v>348</v>
      </c>
      <c r="C362" s="114" t="s">
        <v>758</v>
      </c>
      <c r="D362" s="115"/>
      <c r="E362" s="116">
        <v>1.01</v>
      </c>
      <c r="F362" s="115"/>
      <c r="G362" s="122"/>
      <c r="H362" s="118"/>
      <c r="I362" s="123"/>
      <c r="K362" s="84"/>
    </row>
    <row r="363" spans="1:11" s="16" customFormat="1" ht="10.5" customHeight="1">
      <c r="A363" s="113" t="s">
        <v>756</v>
      </c>
      <c r="B363" s="103" t="s">
        <v>348</v>
      </c>
      <c r="C363" s="114" t="s">
        <v>386</v>
      </c>
      <c r="D363" s="115" t="s">
        <v>759</v>
      </c>
      <c r="E363" s="116">
        <v>0.434</v>
      </c>
      <c r="F363" s="115"/>
      <c r="G363" s="117"/>
      <c r="H363" s="118"/>
      <c r="I363" s="119"/>
      <c r="K363" s="84"/>
    </row>
    <row r="364" spans="1:11" s="16" customFormat="1" ht="10.5" customHeight="1">
      <c r="A364" s="113" t="s">
        <v>756</v>
      </c>
      <c r="B364" s="103" t="s">
        <v>348</v>
      </c>
      <c r="C364" s="114" t="s">
        <v>739</v>
      </c>
      <c r="D364" s="115" t="s">
        <v>508</v>
      </c>
      <c r="E364" s="116">
        <f>0.274-0.048</f>
        <v>0.22600000000000003</v>
      </c>
      <c r="F364" s="115"/>
      <c r="G364" s="117"/>
      <c r="H364" s="118"/>
      <c r="I364" s="119"/>
      <c r="K364" s="84"/>
    </row>
    <row r="365" spans="1:11" s="16" customFormat="1" ht="10.5" customHeight="1">
      <c r="A365" s="113" t="s">
        <v>756</v>
      </c>
      <c r="B365" s="103" t="s">
        <v>348</v>
      </c>
      <c r="C365" s="114" t="s">
        <v>760</v>
      </c>
      <c r="D365" s="115"/>
      <c r="E365" s="116">
        <v>0.77</v>
      </c>
      <c r="F365" s="115"/>
      <c r="G365" s="122"/>
      <c r="H365" s="118"/>
      <c r="I365" s="123"/>
      <c r="K365" s="84"/>
    </row>
    <row r="366" spans="1:11" s="16" customFormat="1" ht="10.5" customHeight="1">
      <c r="A366" s="113" t="s">
        <v>761</v>
      </c>
      <c r="B366" s="103" t="s">
        <v>348</v>
      </c>
      <c r="C366" s="114">
        <v>80</v>
      </c>
      <c r="D366" s="115" t="s">
        <v>762</v>
      </c>
      <c r="E366" s="116">
        <v>0.064</v>
      </c>
      <c r="F366" s="115"/>
      <c r="G366" s="117"/>
      <c r="H366" s="118"/>
      <c r="I366" s="119"/>
      <c r="K366" s="84"/>
    </row>
    <row r="367" spans="1:11" s="16" customFormat="1" ht="10.5" customHeight="1">
      <c r="A367" s="113" t="s">
        <v>761</v>
      </c>
      <c r="B367" s="103" t="s">
        <v>348</v>
      </c>
      <c r="C367" s="114" t="s">
        <v>482</v>
      </c>
      <c r="D367" s="115" t="s">
        <v>763</v>
      </c>
      <c r="E367" s="116">
        <v>0.238</v>
      </c>
      <c r="F367" s="115"/>
      <c r="G367" s="117"/>
      <c r="H367" s="118"/>
      <c r="I367" s="119"/>
      <c r="K367" s="84"/>
    </row>
    <row r="368" spans="1:11" s="16" customFormat="1" ht="10.5" customHeight="1">
      <c r="A368" s="113" t="s">
        <v>764</v>
      </c>
      <c r="B368" s="103" t="s">
        <v>348</v>
      </c>
      <c r="C368" s="114">
        <v>8</v>
      </c>
      <c r="D368" s="115" t="s">
        <v>765</v>
      </c>
      <c r="E368" s="116">
        <f>0.754-0.03-0.008-0.05-0.104</f>
        <v>0.5619999999999999</v>
      </c>
      <c r="F368" s="115"/>
      <c r="G368" s="117"/>
      <c r="H368" s="118"/>
      <c r="I368" s="119"/>
      <c r="K368" s="84"/>
    </row>
    <row r="369" spans="1:11" s="16" customFormat="1" ht="10.5" customHeight="1">
      <c r="A369" s="113" t="s">
        <v>764</v>
      </c>
      <c r="B369" s="103" t="s">
        <v>348</v>
      </c>
      <c r="C369" s="114">
        <v>10</v>
      </c>
      <c r="D369" s="115" t="s">
        <v>766</v>
      </c>
      <c r="E369" s="116">
        <f>0.354+1.014-0.05-0.2-0.05-0.106</f>
        <v>0.9619999999999999</v>
      </c>
      <c r="F369" s="115"/>
      <c r="G369" s="117"/>
      <c r="H369" s="118"/>
      <c r="I369" s="119"/>
      <c r="K369" s="84"/>
    </row>
    <row r="370" spans="1:11" s="16" customFormat="1" ht="10.5" customHeight="1">
      <c r="A370" s="113" t="s">
        <v>764</v>
      </c>
      <c r="B370" s="103" t="s">
        <v>348</v>
      </c>
      <c r="C370" s="114">
        <v>12</v>
      </c>
      <c r="D370" s="115" t="s">
        <v>588</v>
      </c>
      <c r="E370" s="116">
        <f>0.684-0.036-0.012-0.1-0.05</f>
        <v>0.48600000000000004</v>
      </c>
      <c r="F370" s="115"/>
      <c r="G370" s="117"/>
      <c r="H370" s="118"/>
      <c r="I370" s="119"/>
      <c r="K370" s="84"/>
    </row>
    <row r="371" spans="1:11" s="16" customFormat="1" ht="10.5" customHeight="1">
      <c r="A371" s="113" t="s">
        <v>764</v>
      </c>
      <c r="B371" s="103" t="s">
        <v>348</v>
      </c>
      <c r="C371" s="114">
        <v>14</v>
      </c>
      <c r="D371" s="115" t="s">
        <v>414</v>
      </c>
      <c r="E371" s="116">
        <f>0.854-0.028</f>
        <v>0.826</v>
      </c>
      <c r="F371" s="115"/>
      <c r="G371" s="117"/>
      <c r="H371" s="118"/>
      <c r="I371" s="123"/>
      <c r="K371" s="84"/>
    </row>
    <row r="372" spans="1:11" s="16" customFormat="1" ht="10.5" customHeight="1">
      <c r="A372" s="113" t="s">
        <v>764</v>
      </c>
      <c r="B372" s="103" t="s">
        <v>348</v>
      </c>
      <c r="C372" s="114">
        <v>20</v>
      </c>
      <c r="D372" s="115" t="s">
        <v>767</v>
      </c>
      <c r="E372" s="116">
        <f>0.124-0.032-0.008-0.024</f>
        <v>0.05999999999999999</v>
      </c>
      <c r="F372" s="115"/>
      <c r="G372" s="117"/>
      <c r="H372" s="118"/>
      <c r="I372" s="123"/>
      <c r="K372" s="84"/>
    </row>
    <row r="373" spans="1:11" s="16" customFormat="1" ht="10.5" customHeight="1">
      <c r="A373" s="113" t="s">
        <v>764</v>
      </c>
      <c r="B373" s="103" t="s">
        <v>348</v>
      </c>
      <c r="C373" s="114" t="s">
        <v>444</v>
      </c>
      <c r="D373" s="115"/>
      <c r="E373" s="116">
        <v>0.134</v>
      </c>
      <c r="F373" s="115"/>
      <c r="G373" s="117"/>
      <c r="H373" s="118"/>
      <c r="I373" s="123"/>
      <c r="K373" s="84"/>
    </row>
    <row r="374" spans="1:11" s="16" customFormat="1" ht="10.5" customHeight="1">
      <c r="A374" s="113" t="s">
        <v>764</v>
      </c>
      <c r="B374" s="103" t="s">
        <v>348</v>
      </c>
      <c r="C374" s="114" t="s">
        <v>722</v>
      </c>
      <c r="D374" s="115" t="s">
        <v>768</v>
      </c>
      <c r="E374" s="120">
        <v>0.57</v>
      </c>
      <c r="F374" s="115"/>
      <c r="G374" s="126"/>
      <c r="H374" s="118"/>
      <c r="I374" s="123"/>
      <c r="K374" s="84"/>
    </row>
    <row r="375" spans="1:11" s="16" customFormat="1" ht="10.5" customHeight="1">
      <c r="A375" s="113" t="s">
        <v>764</v>
      </c>
      <c r="B375" s="103" t="s">
        <v>348</v>
      </c>
      <c r="C375" s="114" t="s">
        <v>402</v>
      </c>
      <c r="D375" s="115"/>
      <c r="E375" s="120">
        <v>0.755</v>
      </c>
      <c r="F375" s="115"/>
      <c r="G375" s="117"/>
      <c r="H375" s="121"/>
      <c r="I375" s="123"/>
      <c r="K375" s="84"/>
    </row>
    <row r="376" spans="1:11" s="16" customFormat="1" ht="10.5" customHeight="1">
      <c r="A376" s="113" t="s">
        <v>764</v>
      </c>
      <c r="B376" s="103" t="s">
        <v>348</v>
      </c>
      <c r="C376" s="114">
        <v>50</v>
      </c>
      <c r="D376" s="115"/>
      <c r="E376" s="116"/>
      <c r="F376" s="115" t="s">
        <v>769</v>
      </c>
      <c r="G376" s="122">
        <f>1.01+1.28-0.355-0.046-0.355</f>
        <v>1.534</v>
      </c>
      <c r="H376" s="118"/>
      <c r="I376" s="123"/>
      <c r="K376" s="84"/>
    </row>
    <row r="377" spans="1:11" s="16" customFormat="1" ht="10.5" customHeight="1">
      <c r="A377" s="113" t="s">
        <v>764</v>
      </c>
      <c r="B377" s="103" t="s">
        <v>348</v>
      </c>
      <c r="C377" s="114" t="s">
        <v>404</v>
      </c>
      <c r="D377" s="115"/>
      <c r="E377" s="120">
        <v>1</v>
      </c>
      <c r="F377" s="115"/>
      <c r="G377" s="126"/>
      <c r="H377" s="118"/>
      <c r="I377" s="123"/>
      <c r="K377" s="84"/>
    </row>
    <row r="378" spans="1:11" s="16" customFormat="1" ht="10.5" customHeight="1">
      <c r="A378" s="113" t="s">
        <v>764</v>
      </c>
      <c r="B378" s="103" t="s">
        <v>348</v>
      </c>
      <c r="C378" s="114" t="s">
        <v>770</v>
      </c>
      <c r="D378" s="115"/>
      <c r="E378" s="120">
        <v>0.485</v>
      </c>
      <c r="F378" s="115"/>
      <c r="G378" s="126"/>
      <c r="H378" s="118"/>
      <c r="I378" s="123"/>
      <c r="K378" s="84"/>
    </row>
    <row r="379" spans="1:11" s="16" customFormat="1" ht="10.5" customHeight="1">
      <c r="A379" s="113" t="s">
        <v>764</v>
      </c>
      <c r="B379" s="103" t="s">
        <v>348</v>
      </c>
      <c r="C379" s="114">
        <v>70</v>
      </c>
      <c r="D379" s="115" t="s">
        <v>771</v>
      </c>
      <c r="E379" s="116">
        <f>1.71-0.104-0.23-0.14-0.296</f>
        <v>0.9399999999999997</v>
      </c>
      <c r="F379" s="115"/>
      <c r="G379" s="117"/>
      <c r="H379" s="118"/>
      <c r="I379" s="119"/>
      <c r="K379" s="84"/>
    </row>
    <row r="380" spans="1:11" s="16" customFormat="1" ht="10.5" customHeight="1">
      <c r="A380" s="113" t="s">
        <v>764</v>
      </c>
      <c r="B380" s="103" t="s">
        <v>348</v>
      </c>
      <c r="C380" s="114" t="s">
        <v>772</v>
      </c>
      <c r="D380" s="115"/>
      <c r="E380" s="120">
        <f>2.22-0.095</f>
        <v>2.125</v>
      </c>
      <c r="F380" s="115"/>
      <c r="G380" s="126"/>
      <c r="H380" s="118"/>
      <c r="I380" s="123"/>
      <c r="K380" s="84"/>
    </row>
    <row r="381" spans="1:11" s="16" customFormat="1" ht="10.5" customHeight="1">
      <c r="A381" s="113" t="s">
        <v>764</v>
      </c>
      <c r="B381" s="103" t="s">
        <v>348</v>
      </c>
      <c r="C381" s="114" t="s">
        <v>728</v>
      </c>
      <c r="D381" s="115"/>
      <c r="E381" s="116">
        <v>0.55</v>
      </c>
      <c r="F381" s="115"/>
      <c r="G381" s="117"/>
      <c r="H381" s="118"/>
      <c r="I381" s="123"/>
      <c r="K381" s="84"/>
    </row>
    <row r="382" spans="1:11" s="16" customFormat="1" ht="10.5" customHeight="1">
      <c r="A382" s="113" t="s">
        <v>764</v>
      </c>
      <c r="B382" s="103" t="s">
        <v>348</v>
      </c>
      <c r="C382" s="114">
        <v>80</v>
      </c>
      <c r="D382" s="115"/>
      <c r="E382" s="116"/>
      <c r="F382" s="115" t="s">
        <v>447</v>
      </c>
      <c r="G382" s="126">
        <f>1.514+0.258-0.115-0.216-0.222-0.536-0.34</f>
        <v>0.343</v>
      </c>
      <c r="H382" s="121">
        <v>2</v>
      </c>
      <c r="I382" s="119"/>
      <c r="K382" s="84"/>
    </row>
    <row r="383" spans="1:11" s="16" customFormat="1" ht="10.5" customHeight="1">
      <c r="A383" s="113" t="s">
        <v>764</v>
      </c>
      <c r="B383" s="103" t="s">
        <v>348</v>
      </c>
      <c r="C383" s="114" t="s">
        <v>773</v>
      </c>
      <c r="D383" s="115"/>
      <c r="E383" s="116">
        <v>0.388</v>
      </c>
      <c r="F383" s="115"/>
      <c r="G383" s="117"/>
      <c r="H383" s="118"/>
      <c r="I383" s="123"/>
      <c r="K383" s="84"/>
    </row>
    <row r="384" spans="1:11" s="16" customFormat="1" ht="10.5" customHeight="1">
      <c r="A384" s="113" t="s">
        <v>764</v>
      </c>
      <c r="B384" s="103" t="s">
        <v>348</v>
      </c>
      <c r="C384" s="114" t="s">
        <v>774</v>
      </c>
      <c r="D384" s="115" t="s">
        <v>775</v>
      </c>
      <c r="E384" s="120">
        <v>1.735</v>
      </c>
      <c r="F384" s="115"/>
      <c r="G384" s="126"/>
      <c r="H384" s="121"/>
      <c r="I384" s="123"/>
      <c r="K384" s="84"/>
    </row>
    <row r="385" spans="1:11" s="16" customFormat="1" ht="10.5" customHeight="1">
      <c r="A385" s="113" t="s">
        <v>764</v>
      </c>
      <c r="B385" s="103" t="s">
        <v>348</v>
      </c>
      <c r="C385" s="114" t="s">
        <v>354</v>
      </c>
      <c r="D385" s="115"/>
      <c r="E385" s="120">
        <v>4.32</v>
      </c>
      <c r="F385" s="115"/>
      <c r="G385" s="126"/>
      <c r="H385" s="121"/>
      <c r="I385" s="123"/>
      <c r="K385" s="84"/>
    </row>
    <row r="386" spans="1:11" s="16" customFormat="1" ht="10.5" customHeight="1">
      <c r="A386" s="113" t="s">
        <v>764</v>
      </c>
      <c r="B386" s="103" t="s">
        <v>348</v>
      </c>
      <c r="C386" s="114">
        <v>100</v>
      </c>
      <c r="D386" s="115" t="s">
        <v>776</v>
      </c>
      <c r="E386" s="116">
        <v>0.374</v>
      </c>
      <c r="F386" s="115"/>
      <c r="G386" s="126"/>
      <c r="H386" s="121"/>
      <c r="I386" s="123"/>
      <c r="K386" s="84"/>
    </row>
    <row r="387" spans="1:11" s="16" customFormat="1" ht="10.5" customHeight="1">
      <c r="A387" s="113" t="s">
        <v>764</v>
      </c>
      <c r="B387" s="103" t="s">
        <v>348</v>
      </c>
      <c r="C387" s="114" t="s">
        <v>777</v>
      </c>
      <c r="D387" s="115" t="s">
        <v>778</v>
      </c>
      <c r="E387" s="116">
        <v>2.885</v>
      </c>
      <c r="F387" s="115"/>
      <c r="G387" s="122"/>
      <c r="H387" s="118"/>
      <c r="I387" s="119"/>
      <c r="K387" s="84"/>
    </row>
    <row r="388" spans="1:11" s="16" customFormat="1" ht="10.5" customHeight="1">
      <c r="A388" s="113" t="s">
        <v>764</v>
      </c>
      <c r="B388" s="103" t="s">
        <v>348</v>
      </c>
      <c r="C388" s="114" t="s">
        <v>356</v>
      </c>
      <c r="D388" s="115"/>
      <c r="E388" s="116">
        <v>1.078</v>
      </c>
      <c r="F388" s="115"/>
      <c r="G388" s="117"/>
      <c r="H388" s="118"/>
      <c r="I388" s="123"/>
      <c r="K388" s="84"/>
    </row>
    <row r="389" spans="1:11" s="16" customFormat="1" ht="10.5" customHeight="1">
      <c r="A389" s="113" t="s">
        <v>764</v>
      </c>
      <c r="B389" s="103" t="s">
        <v>348</v>
      </c>
      <c r="C389" s="114" t="s">
        <v>357</v>
      </c>
      <c r="D389" s="115"/>
      <c r="E389" s="120">
        <v>4.41</v>
      </c>
      <c r="F389" s="115"/>
      <c r="G389" s="126"/>
      <c r="H389" s="121"/>
      <c r="I389" s="123"/>
      <c r="K389" s="84"/>
    </row>
    <row r="390" spans="1:11" s="16" customFormat="1" ht="10.5" customHeight="1">
      <c r="A390" s="113" t="s">
        <v>764</v>
      </c>
      <c r="B390" s="103" t="s">
        <v>348</v>
      </c>
      <c r="C390" s="114" t="s">
        <v>779</v>
      </c>
      <c r="D390" s="115" t="s">
        <v>780</v>
      </c>
      <c r="E390" s="116">
        <v>2.204</v>
      </c>
      <c r="F390" s="115"/>
      <c r="G390" s="122"/>
      <c r="H390" s="118"/>
      <c r="I390" s="119"/>
      <c r="K390" s="84"/>
    </row>
    <row r="391" spans="1:11" s="16" customFormat="1" ht="10.5" customHeight="1">
      <c r="A391" s="113" t="s">
        <v>764</v>
      </c>
      <c r="B391" s="103" t="s">
        <v>348</v>
      </c>
      <c r="C391" s="114" t="s">
        <v>781</v>
      </c>
      <c r="D391" s="115"/>
      <c r="E391" s="116">
        <v>0.45</v>
      </c>
      <c r="F391" s="115"/>
      <c r="G391" s="117"/>
      <c r="H391" s="121"/>
      <c r="I391" s="123"/>
      <c r="K391" s="84"/>
    </row>
    <row r="392" spans="1:11" s="16" customFormat="1" ht="10.5" customHeight="1">
      <c r="A392" s="113" t="s">
        <v>764</v>
      </c>
      <c r="B392" s="103" t="s">
        <v>348</v>
      </c>
      <c r="C392" s="114" t="s">
        <v>359</v>
      </c>
      <c r="D392" s="115"/>
      <c r="E392" s="120">
        <v>1.468</v>
      </c>
      <c r="F392" s="115"/>
      <c r="G392" s="126"/>
      <c r="H392" s="121"/>
      <c r="I392" s="123"/>
      <c r="K392" s="84"/>
    </row>
    <row r="393" spans="1:11" s="16" customFormat="1" ht="10.5" customHeight="1">
      <c r="A393" s="113" t="s">
        <v>764</v>
      </c>
      <c r="B393" s="103" t="s">
        <v>348</v>
      </c>
      <c r="C393" s="114" t="s">
        <v>360</v>
      </c>
      <c r="D393" s="115"/>
      <c r="E393" s="120">
        <v>2.38</v>
      </c>
      <c r="F393" s="115"/>
      <c r="G393" s="126"/>
      <c r="H393" s="121"/>
      <c r="I393" s="123"/>
      <c r="K393" s="84"/>
    </row>
    <row r="394" spans="1:11" s="16" customFormat="1" ht="10.5" customHeight="1">
      <c r="A394" s="113" t="s">
        <v>764</v>
      </c>
      <c r="B394" s="103" t="s">
        <v>348</v>
      </c>
      <c r="C394" s="114" t="s">
        <v>782</v>
      </c>
      <c r="D394" s="115"/>
      <c r="E394" s="116">
        <v>3.65</v>
      </c>
      <c r="F394" s="115"/>
      <c r="G394" s="117"/>
      <c r="H394" s="121"/>
      <c r="I394" s="123"/>
      <c r="K394" s="84"/>
    </row>
    <row r="395" spans="1:11" s="16" customFormat="1" ht="10.5" customHeight="1">
      <c r="A395" s="113" t="s">
        <v>764</v>
      </c>
      <c r="B395" s="103" t="s">
        <v>348</v>
      </c>
      <c r="C395" s="114" t="s">
        <v>783</v>
      </c>
      <c r="D395" s="115"/>
      <c r="E395" s="120">
        <f>2.3-0.19</f>
        <v>2.11</v>
      </c>
      <c r="F395" s="115"/>
      <c r="G395" s="126"/>
      <c r="H395" s="121"/>
      <c r="I395" s="123"/>
      <c r="K395" s="84"/>
    </row>
    <row r="396" spans="1:11" s="16" customFormat="1" ht="10.5" customHeight="1">
      <c r="A396" s="113" t="s">
        <v>764</v>
      </c>
      <c r="B396" s="103" t="s">
        <v>348</v>
      </c>
      <c r="C396" s="114" t="s">
        <v>784</v>
      </c>
      <c r="D396" s="115" t="s">
        <v>785</v>
      </c>
      <c r="E396" s="116">
        <v>2.75</v>
      </c>
      <c r="F396" s="115"/>
      <c r="G396" s="122"/>
      <c r="H396" s="118"/>
      <c r="I396" s="119"/>
      <c r="K396" s="84"/>
    </row>
    <row r="397" spans="1:11" s="16" customFormat="1" ht="10.5" customHeight="1">
      <c r="A397" s="113" t="s">
        <v>764</v>
      </c>
      <c r="B397" s="103" t="s">
        <v>348</v>
      </c>
      <c r="C397" s="114" t="s">
        <v>786</v>
      </c>
      <c r="D397" s="115" t="s">
        <v>787</v>
      </c>
      <c r="E397" s="116">
        <v>1.309</v>
      </c>
      <c r="F397" s="115"/>
      <c r="G397" s="122"/>
      <c r="H397" s="118"/>
      <c r="I397" s="119"/>
      <c r="K397" s="84"/>
    </row>
    <row r="398" spans="1:11" s="16" customFormat="1" ht="10.5" customHeight="1">
      <c r="A398" s="113" t="s">
        <v>764</v>
      </c>
      <c r="B398" s="103" t="s">
        <v>348</v>
      </c>
      <c r="C398" s="114" t="s">
        <v>739</v>
      </c>
      <c r="D398" s="115" t="s">
        <v>383</v>
      </c>
      <c r="E398" s="116">
        <f>1.066-0.548</f>
        <v>0.518</v>
      </c>
      <c r="F398" s="115"/>
      <c r="G398" s="126">
        <v>0.548</v>
      </c>
      <c r="H398" s="121"/>
      <c r="I398" s="119"/>
      <c r="K398" s="84"/>
    </row>
    <row r="399" spans="1:11" s="16" customFormat="1" ht="10.5" customHeight="1">
      <c r="A399" s="113" t="s">
        <v>764</v>
      </c>
      <c r="B399" s="103" t="s">
        <v>348</v>
      </c>
      <c r="C399" s="114" t="s">
        <v>788</v>
      </c>
      <c r="D399" s="115"/>
      <c r="E399" s="120">
        <v>2.29</v>
      </c>
      <c r="F399" s="115"/>
      <c r="G399" s="126"/>
      <c r="H399" s="121"/>
      <c r="I399" s="123"/>
      <c r="K399" s="84"/>
    </row>
    <row r="400" spans="1:11" s="16" customFormat="1" ht="10.5" customHeight="1">
      <c r="A400" s="113" t="s">
        <v>764</v>
      </c>
      <c r="B400" s="103" t="s">
        <v>348</v>
      </c>
      <c r="C400" s="114" t="s">
        <v>741</v>
      </c>
      <c r="D400" s="115"/>
      <c r="E400" s="116">
        <v>1.64</v>
      </c>
      <c r="F400" s="115"/>
      <c r="G400" s="117"/>
      <c r="H400" s="121"/>
      <c r="I400" s="123"/>
      <c r="K400" s="84"/>
    </row>
    <row r="401" spans="1:11" s="16" customFormat="1" ht="10.5" customHeight="1">
      <c r="A401" s="113" t="s">
        <v>764</v>
      </c>
      <c r="B401" s="103" t="s">
        <v>348</v>
      </c>
      <c r="C401" s="114" t="s">
        <v>760</v>
      </c>
      <c r="D401" s="115"/>
      <c r="E401" s="116">
        <v>0.983</v>
      </c>
      <c r="F401" s="115"/>
      <c r="G401" s="117"/>
      <c r="H401" s="121"/>
      <c r="I401" s="123"/>
      <c r="K401" s="84"/>
    </row>
    <row r="402" spans="1:11" s="16" customFormat="1" ht="10.5" customHeight="1">
      <c r="A402" s="113" t="s">
        <v>764</v>
      </c>
      <c r="B402" s="103" t="s">
        <v>348</v>
      </c>
      <c r="C402" s="114" t="s">
        <v>789</v>
      </c>
      <c r="D402" s="115" t="s">
        <v>790</v>
      </c>
      <c r="E402" s="120">
        <v>2.675</v>
      </c>
      <c r="F402" s="115"/>
      <c r="G402" s="126"/>
      <c r="H402" s="121"/>
      <c r="I402" s="119"/>
      <c r="K402" s="84"/>
    </row>
    <row r="403" spans="1:11" s="16" customFormat="1" ht="10.5" customHeight="1">
      <c r="A403" s="113" t="s">
        <v>764</v>
      </c>
      <c r="B403" s="103" t="s">
        <v>348</v>
      </c>
      <c r="C403" s="114" t="s">
        <v>791</v>
      </c>
      <c r="D403" s="115"/>
      <c r="E403" s="116">
        <v>0.3</v>
      </c>
      <c r="F403" s="115"/>
      <c r="G403" s="126"/>
      <c r="H403" s="121"/>
      <c r="I403" s="123"/>
      <c r="K403" s="84"/>
    </row>
    <row r="404" spans="1:11" s="16" customFormat="1" ht="10.5" customHeight="1">
      <c r="A404" s="113" t="s">
        <v>764</v>
      </c>
      <c r="B404" s="103" t="s">
        <v>348</v>
      </c>
      <c r="C404" s="114" t="s">
        <v>363</v>
      </c>
      <c r="D404" s="115"/>
      <c r="E404" s="120">
        <v>1.55</v>
      </c>
      <c r="F404" s="115"/>
      <c r="G404" s="126"/>
      <c r="H404" s="121"/>
      <c r="I404" s="123"/>
      <c r="K404" s="84"/>
    </row>
    <row r="405" spans="1:11" s="16" customFormat="1" ht="10.5" customHeight="1">
      <c r="A405" s="113" t="s">
        <v>764</v>
      </c>
      <c r="B405" s="103" t="s">
        <v>348</v>
      </c>
      <c r="C405" s="114" t="s">
        <v>792</v>
      </c>
      <c r="D405" s="115" t="s">
        <v>793</v>
      </c>
      <c r="E405" s="116">
        <v>3.11</v>
      </c>
      <c r="F405" s="115"/>
      <c r="G405" s="122"/>
      <c r="H405" s="118"/>
      <c r="I405" s="119"/>
      <c r="K405" s="84"/>
    </row>
    <row r="406" spans="1:11" s="16" customFormat="1" ht="10.5" customHeight="1">
      <c r="A406" s="113" t="s">
        <v>764</v>
      </c>
      <c r="B406" s="103" t="s">
        <v>348</v>
      </c>
      <c r="C406" s="114" t="s">
        <v>794</v>
      </c>
      <c r="D406" s="115"/>
      <c r="E406" s="116">
        <v>2.07</v>
      </c>
      <c r="F406" s="115"/>
      <c r="G406" s="117"/>
      <c r="H406" s="121"/>
      <c r="I406" s="123"/>
      <c r="K406" s="84"/>
    </row>
    <row r="407" spans="1:11" s="16" customFormat="1" ht="10.5" customHeight="1">
      <c r="A407" s="113" t="s">
        <v>764</v>
      </c>
      <c r="B407" s="103" t="s">
        <v>348</v>
      </c>
      <c r="C407" s="114" t="s">
        <v>795</v>
      </c>
      <c r="D407" s="115" t="s">
        <v>796</v>
      </c>
      <c r="E407" s="116">
        <v>2.64</v>
      </c>
      <c r="F407" s="115"/>
      <c r="G407" s="122"/>
      <c r="H407" s="118"/>
      <c r="I407" s="119"/>
      <c r="K407" s="84"/>
    </row>
    <row r="408" spans="1:11" s="16" customFormat="1" ht="10.5" customHeight="1">
      <c r="A408" s="113" t="s">
        <v>764</v>
      </c>
      <c r="B408" s="103" t="s">
        <v>348</v>
      </c>
      <c r="C408" s="114" t="s">
        <v>749</v>
      </c>
      <c r="D408" s="115"/>
      <c r="E408" s="116">
        <v>1.62</v>
      </c>
      <c r="F408" s="115"/>
      <c r="G408" s="117"/>
      <c r="H408" s="121"/>
      <c r="I408" s="123"/>
      <c r="K408" s="84"/>
    </row>
    <row r="409" spans="1:11" s="16" customFormat="1" ht="10.5" customHeight="1">
      <c r="A409" s="113" t="s">
        <v>764</v>
      </c>
      <c r="B409" s="103" t="s">
        <v>348</v>
      </c>
      <c r="C409" s="114" t="s">
        <v>797</v>
      </c>
      <c r="D409" s="115" t="s">
        <v>798</v>
      </c>
      <c r="E409" s="116">
        <v>3.365</v>
      </c>
      <c r="F409" s="115"/>
      <c r="G409" s="122"/>
      <c r="H409" s="118"/>
      <c r="I409" s="119"/>
      <c r="K409" s="84"/>
    </row>
    <row r="410" spans="1:11" s="16" customFormat="1" ht="10.5" customHeight="1">
      <c r="A410" s="113" t="s">
        <v>764</v>
      </c>
      <c r="B410" s="103" t="s">
        <v>348</v>
      </c>
      <c r="C410" s="114" t="s">
        <v>799</v>
      </c>
      <c r="D410" s="115" t="s">
        <v>800</v>
      </c>
      <c r="E410" s="116">
        <v>1.808</v>
      </c>
      <c r="F410" s="115"/>
      <c r="G410" s="122"/>
      <c r="H410" s="118"/>
      <c r="I410" s="119"/>
      <c r="K410" s="84"/>
    </row>
    <row r="411" spans="1:11" s="16" customFormat="1" ht="10.5" customHeight="1">
      <c r="A411" s="113" t="s">
        <v>764</v>
      </c>
      <c r="B411" s="103" t="s">
        <v>348</v>
      </c>
      <c r="C411" s="114" t="s">
        <v>801</v>
      </c>
      <c r="D411" s="115"/>
      <c r="E411" s="116">
        <v>4.68</v>
      </c>
      <c r="F411" s="115"/>
      <c r="G411" s="117"/>
      <c r="H411" s="121"/>
      <c r="I411" s="123"/>
      <c r="K411" s="84"/>
    </row>
    <row r="412" spans="1:11" s="16" customFormat="1" ht="10.5" customHeight="1">
      <c r="A412" s="113" t="s">
        <v>764</v>
      </c>
      <c r="B412" s="103" t="s">
        <v>348</v>
      </c>
      <c r="C412" s="114" t="s">
        <v>802</v>
      </c>
      <c r="D412" s="115" t="s">
        <v>803</v>
      </c>
      <c r="E412" s="116">
        <v>0.482</v>
      </c>
      <c r="F412" s="115"/>
      <c r="G412" s="122"/>
      <c r="H412" s="118"/>
      <c r="I412" s="119"/>
      <c r="K412" s="84"/>
    </row>
    <row r="413" spans="1:11" s="16" customFormat="1" ht="10.5" customHeight="1">
      <c r="A413" s="113" t="s">
        <v>764</v>
      </c>
      <c r="B413" s="103" t="s">
        <v>348</v>
      </c>
      <c r="C413" s="114" t="s">
        <v>804</v>
      </c>
      <c r="D413" s="115" t="s">
        <v>805</v>
      </c>
      <c r="E413" s="116">
        <v>3.425</v>
      </c>
      <c r="F413" s="115"/>
      <c r="G413" s="122"/>
      <c r="H413" s="118"/>
      <c r="I413" s="119"/>
      <c r="K413" s="84"/>
    </row>
    <row r="414" spans="1:11" s="16" customFormat="1" ht="10.5" customHeight="1">
      <c r="A414" s="113" t="s">
        <v>764</v>
      </c>
      <c r="B414" s="103" t="s">
        <v>364</v>
      </c>
      <c r="C414" s="114" t="s">
        <v>470</v>
      </c>
      <c r="D414" s="115"/>
      <c r="E414" s="120">
        <f>2.16-0.065</f>
        <v>2.095</v>
      </c>
      <c r="F414" s="115"/>
      <c r="G414" s="126"/>
      <c r="H414" s="121"/>
      <c r="I414" s="123"/>
      <c r="K414" s="84"/>
    </row>
    <row r="415" spans="1:11" s="16" customFormat="1" ht="10.5" customHeight="1">
      <c r="A415" s="113" t="s">
        <v>764</v>
      </c>
      <c r="B415" s="103" t="s">
        <v>364</v>
      </c>
      <c r="C415" s="114" t="s">
        <v>806</v>
      </c>
      <c r="D415" s="115"/>
      <c r="E415" s="116">
        <v>1.766</v>
      </c>
      <c r="F415" s="115"/>
      <c r="G415" s="126"/>
      <c r="H415" s="121"/>
      <c r="I415" s="123"/>
      <c r="K415" s="84"/>
    </row>
    <row r="416" spans="1:11" s="16" customFormat="1" ht="10.5" customHeight="1">
      <c r="A416" s="113" t="s">
        <v>764</v>
      </c>
      <c r="B416" s="103" t="s">
        <v>364</v>
      </c>
      <c r="C416" s="114" t="s">
        <v>807</v>
      </c>
      <c r="D416" s="115"/>
      <c r="E416" s="116">
        <v>1.936</v>
      </c>
      <c r="F416" s="115"/>
      <c r="G416" s="126"/>
      <c r="H416" s="121"/>
      <c r="I416" s="123"/>
      <c r="K416" s="84"/>
    </row>
    <row r="417" spans="1:11" s="16" customFormat="1" ht="10.5" customHeight="1">
      <c r="A417" s="113" t="s">
        <v>764</v>
      </c>
      <c r="B417" s="103" t="s">
        <v>364</v>
      </c>
      <c r="C417" s="114" t="s">
        <v>808</v>
      </c>
      <c r="D417" s="115" t="s">
        <v>809</v>
      </c>
      <c r="E417" s="120">
        <v>1.37</v>
      </c>
      <c r="F417" s="115"/>
      <c r="G417" s="126"/>
      <c r="H417" s="121"/>
      <c r="I417" s="123"/>
      <c r="K417" s="84"/>
    </row>
    <row r="418" spans="1:11" s="16" customFormat="1" ht="10.5" customHeight="1">
      <c r="A418" s="113" t="s">
        <v>764</v>
      </c>
      <c r="B418" s="103" t="s">
        <v>364</v>
      </c>
      <c r="C418" s="114" t="s">
        <v>810</v>
      </c>
      <c r="D418" s="115"/>
      <c r="E418" s="116">
        <v>1.81</v>
      </c>
      <c r="F418" s="115"/>
      <c r="G418" s="126"/>
      <c r="H418" s="121"/>
      <c r="I418" s="123"/>
      <c r="K418" s="84"/>
    </row>
    <row r="419" spans="1:11" s="16" customFormat="1" ht="10.5" customHeight="1">
      <c r="A419" s="113" t="s">
        <v>764</v>
      </c>
      <c r="B419" s="103" t="s">
        <v>364</v>
      </c>
      <c r="C419" s="114" t="s">
        <v>811</v>
      </c>
      <c r="D419" s="115"/>
      <c r="E419" s="120">
        <v>1.825</v>
      </c>
      <c r="F419" s="115"/>
      <c r="G419" s="126"/>
      <c r="H419" s="121"/>
      <c r="I419" s="123"/>
      <c r="K419" s="84"/>
    </row>
    <row r="420" spans="1:11" s="16" customFormat="1" ht="10.5" customHeight="1">
      <c r="A420" s="113" t="s">
        <v>764</v>
      </c>
      <c r="B420" s="103" t="s">
        <v>364</v>
      </c>
      <c r="C420" s="114" t="s">
        <v>812</v>
      </c>
      <c r="D420" s="115" t="s">
        <v>813</v>
      </c>
      <c r="E420" s="116">
        <v>0.87</v>
      </c>
      <c r="F420" s="115"/>
      <c r="G420" s="126"/>
      <c r="H420" s="121"/>
      <c r="I420" s="123"/>
      <c r="K420" s="84"/>
    </row>
    <row r="421" spans="1:11" s="16" customFormat="1" ht="10.5" customHeight="1">
      <c r="A421" s="113" t="s">
        <v>764</v>
      </c>
      <c r="B421" s="103" t="s">
        <v>364</v>
      </c>
      <c r="C421" s="114" t="s">
        <v>814</v>
      </c>
      <c r="D421" s="115" t="s">
        <v>815</v>
      </c>
      <c r="E421" s="116">
        <v>0.138</v>
      </c>
      <c r="F421" s="115"/>
      <c r="G421" s="126"/>
      <c r="H421" s="121"/>
      <c r="I421" s="123"/>
      <c r="K421" s="84"/>
    </row>
    <row r="422" spans="1:11" s="16" customFormat="1" ht="10.5" customHeight="1">
      <c r="A422" s="113" t="s">
        <v>764</v>
      </c>
      <c r="B422" s="103" t="s">
        <v>364</v>
      </c>
      <c r="C422" s="114" t="s">
        <v>816</v>
      </c>
      <c r="D422" s="115"/>
      <c r="E422" s="116">
        <v>0.668</v>
      </c>
      <c r="F422" s="115"/>
      <c r="G422" s="126"/>
      <c r="H422" s="121"/>
      <c r="I422" s="123"/>
      <c r="K422" s="84"/>
    </row>
    <row r="423" spans="1:11" s="16" customFormat="1" ht="10.5" customHeight="1">
      <c r="A423" s="113" t="s">
        <v>764</v>
      </c>
      <c r="B423" s="103" t="s">
        <v>364</v>
      </c>
      <c r="C423" s="114" t="s">
        <v>817</v>
      </c>
      <c r="D423" s="115"/>
      <c r="E423" s="120">
        <v>2.02</v>
      </c>
      <c r="F423" s="115"/>
      <c r="G423" s="126"/>
      <c r="H423" s="121"/>
      <c r="I423" s="123"/>
      <c r="K423" s="84"/>
    </row>
    <row r="424" spans="1:11" s="16" customFormat="1" ht="10.5" customHeight="1">
      <c r="A424" s="113" t="s">
        <v>764</v>
      </c>
      <c r="B424" s="103" t="s">
        <v>364</v>
      </c>
      <c r="C424" s="114" t="s">
        <v>818</v>
      </c>
      <c r="D424" s="115"/>
      <c r="E424" s="120">
        <f>2.685-1</f>
        <v>1.685</v>
      </c>
      <c r="F424" s="115"/>
      <c r="G424" s="126"/>
      <c r="H424" s="121"/>
      <c r="I424" s="123"/>
      <c r="K424" s="84"/>
    </row>
    <row r="425" spans="1:11" s="16" customFormat="1" ht="10.5" customHeight="1">
      <c r="A425" s="113" t="s">
        <v>764</v>
      </c>
      <c r="B425" s="103" t="s">
        <v>364</v>
      </c>
      <c r="C425" s="114" t="s">
        <v>819</v>
      </c>
      <c r="D425" s="115" t="s">
        <v>820</v>
      </c>
      <c r="E425" s="116">
        <v>0.245</v>
      </c>
      <c r="F425" s="115"/>
      <c r="G425" s="126"/>
      <c r="H425" s="121"/>
      <c r="I425" s="123"/>
      <c r="K425" s="84"/>
    </row>
    <row r="426" spans="1:11" s="16" customFormat="1" ht="10.5" customHeight="1">
      <c r="A426" s="113" t="s">
        <v>764</v>
      </c>
      <c r="B426" s="103" t="s">
        <v>364</v>
      </c>
      <c r="C426" s="114" t="s">
        <v>821</v>
      </c>
      <c r="D426" s="115"/>
      <c r="E426" s="116">
        <v>1.77</v>
      </c>
      <c r="F426" s="115"/>
      <c r="G426" s="126"/>
      <c r="H426" s="121"/>
      <c r="I426" s="123"/>
      <c r="K426" s="84"/>
    </row>
    <row r="427" spans="1:11" s="16" customFormat="1" ht="10.5" customHeight="1">
      <c r="A427" s="113" t="s">
        <v>764</v>
      </c>
      <c r="B427" s="103" t="s">
        <v>364</v>
      </c>
      <c r="C427" s="114" t="s">
        <v>431</v>
      </c>
      <c r="D427" s="115"/>
      <c r="E427" s="120">
        <v>1.675</v>
      </c>
      <c r="F427" s="115"/>
      <c r="G427" s="126"/>
      <c r="H427" s="121"/>
      <c r="I427" s="123"/>
      <c r="K427" s="84"/>
    </row>
    <row r="428" spans="1:11" s="16" customFormat="1" ht="10.5" customHeight="1">
      <c r="A428" s="113" t="s">
        <v>764</v>
      </c>
      <c r="B428" s="103" t="s">
        <v>364</v>
      </c>
      <c r="C428" s="114" t="s">
        <v>822</v>
      </c>
      <c r="D428" s="115" t="s">
        <v>765</v>
      </c>
      <c r="E428" s="116">
        <v>0.67</v>
      </c>
      <c r="F428" s="115"/>
      <c r="G428" s="126"/>
      <c r="H428" s="121"/>
      <c r="I428" s="123"/>
      <c r="K428" s="84"/>
    </row>
    <row r="429" spans="1:11" s="16" customFormat="1" ht="10.5" customHeight="1">
      <c r="A429" s="113" t="s">
        <v>764</v>
      </c>
      <c r="B429" s="103" t="s">
        <v>364</v>
      </c>
      <c r="C429" s="114" t="s">
        <v>823</v>
      </c>
      <c r="D429" s="115"/>
      <c r="E429" s="120">
        <v>1.885</v>
      </c>
      <c r="F429" s="115"/>
      <c r="G429" s="126"/>
      <c r="H429" s="121"/>
      <c r="I429" s="123"/>
      <c r="K429" s="84"/>
    </row>
    <row r="430" spans="1:11" s="16" customFormat="1" ht="10.5" customHeight="1">
      <c r="A430" s="113" t="s">
        <v>824</v>
      </c>
      <c r="B430" s="103" t="s">
        <v>348</v>
      </c>
      <c r="C430" s="114">
        <v>14</v>
      </c>
      <c r="D430" s="115" t="s">
        <v>447</v>
      </c>
      <c r="E430" s="116">
        <f>0.15-0.03</f>
        <v>0.12</v>
      </c>
      <c r="F430" s="115"/>
      <c r="G430" s="117"/>
      <c r="H430" s="118"/>
      <c r="I430" s="119"/>
      <c r="K430" s="84"/>
    </row>
    <row r="431" spans="1:11" s="16" customFormat="1" ht="10.5" customHeight="1">
      <c r="A431" s="113" t="s">
        <v>824</v>
      </c>
      <c r="B431" s="103" t="s">
        <v>348</v>
      </c>
      <c r="C431" s="114" t="s">
        <v>825</v>
      </c>
      <c r="D431" s="115"/>
      <c r="E431" s="116">
        <v>1.54</v>
      </c>
      <c r="F431" s="115"/>
      <c r="G431" s="117"/>
      <c r="H431" s="118"/>
      <c r="I431" s="119"/>
      <c r="K431" s="84"/>
    </row>
    <row r="432" spans="1:11" s="16" customFormat="1" ht="10.5" customHeight="1">
      <c r="A432" s="113" t="s">
        <v>824</v>
      </c>
      <c r="B432" s="103" t="s">
        <v>348</v>
      </c>
      <c r="C432" s="114" t="s">
        <v>826</v>
      </c>
      <c r="D432" s="115"/>
      <c r="E432" s="116">
        <v>0.99</v>
      </c>
      <c r="F432" s="115"/>
      <c r="G432" s="117"/>
      <c r="H432" s="118"/>
      <c r="I432" s="119"/>
      <c r="K432" s="84"/>
    </row>
    <row r="433" spans="1:11" s="16" customFormat="1" ht="10.5" customHeight="1">
      <c r="A433" s="113" t="s">
        <v>824</v>
      </c>
      <c r="B433" s="103" t="s">
        <v>348</v>
      </c>
      <c r="C433" s="114" t="s">
        <v>444</v>
      </c>
      <c r="D433" s="115"/>
      <c r="E433" s="116">
        <v>0.64</v>
      </c>
      <c r="F433" s="115"/>
      <c r="G433" s="117"/>
      <c r="H433" s="118"/>
      <c r="I433" s="119"/>
      <c r="K433" s="84"/>
    </row>
    <row r="434" spans="1:11" s="16" customFormat="1" ht="10.5" customHeight="1">
      <c r="A434" s="113" t="s">
        <v>824</v>
      </c>
      <c r="B434" s="103" t="s">
        <v>348</v>
      </c>
      <c r="C434" s="114" t="s">
        <v>827</v>
      </c>
      <c r="D434" s="115"/>
      <c r="E434" s="116">
        <v>1.05</v>
      </c>
      <c r="F434" s="115"/>
      <c r="G434" s="117"/>
      <c r="H434" s="118"/>
      <c r="I434" s="119"/>
      <c r="K434" s="84"/>
    </row>
    <row r="435" spans="1:11" s="16" customFormat="1" ht="10.5" customHeight="1">
      <c r="A435" s="113" t="s">
        <v>828</v>
      </c>
      <c r="B435" s="103" t="s">
        <v>348</v>
      </c>
      <c r="C435" s="114">
        <v>50</v>
      </c>
      <c r="D435" s="115" t="s">
        <v>720</v>
      </c>
      <c r="E435" s="116">
        <v>1.234</v>
      </c>
      <c r="F435" s="115"/>
      <c r="G435" s="117"/>
      <c r="H435" s="118"/>
      <c r="I435" s="119"/>
      <c r="K435" s="84"/>
    </row>
    <row r="436" spans="1:11" s="16" customFormat="1" ht="10.5" customHeight="1">
      <c r="A436" s="113" t="s">
        <v>824</v>
      </c>
      <c r="B436" s="103" t="s">
        <v>348</v>
      </c>
      <c r="C436" s="114">
        <v>60</v>
      </c>
      <c r="D436" s="115" t="s">
        <v>721</v>
      </c>
      <c r="E436" s="116">
        <v>2.518</v>
      </c>
      <c r="F436" s="115"/>
      <c r="G436" s="117"/>
      <c r="H436" s="118"/>
      <c r="I436" s="119"/>
      <c r="K436" s="84"/>
    </row>
    <row r="437" spans="1:11" s="16" customFormat="1" ht="10.5" customHeight="1">
      <c r="A437" s="113" t="s">
        <v>824</v>
      </c>
      <c r="B437" s="103" t="s">
        <v>348</v>
      </c>
      <c r="C437" s="114" t="s">
        <v>457</v>
      </c>
      <c r="D437" s="115" t="s">
        <v>829</v>
      </c>
      <c r="E437" s="116">
        <f>0.63-0.484-0.01</f>
        <v>0.136</v>
      </c>
      <c r="F437" s="115"/>
      <c r="G437" s="122"/>
      <c r="H437" s="118"/>
      <c r="I437" s="119"/>
      <c r="K437" s="84"/>
    </row>
    <row r="438" spans="1:11" s="16" customFormat="1" ht="10.5" customHeight="1">
      <c r="A438" s="113" t="s">
        <v>824</v>
      </c>
      <c r="B438" s="103" t="s">
        <v>348</v>
      </c>
      <c r="C438" s="114" t="s">
        <v>369</v>
      </c>
      <c r="D438" s="115"/>
      <c r="E438" s="116">
        <v>2.34</v>
      </c>
      <c r="F438" s="115"/>
      <c r="G438" s="117"/>
      <c r="H438" s="118"/>
      <c r="I438" s="119"/>
      <c r="K438" s="84"/>
    </row>
    <row r="439" spans="1:11" s="16" customFormat="1" ht="10.5" customHeight="1">
      <c r="A439" s="113" t="s">
        <v>824</v>
      </c>
      <c r="B439" s="103" t="s">
        <v>348</v>
      </c>
      <c r="C439" s="114" t="s">
        <v>482</v>
      </c>
      <c r="D439" s="115" t="s">
        <v>830</v>
      </c>
      <c r="E439" s="116">
        <f>0.43-0.018</f>
        <v>0.412</v>
      </c>
      <c r="F439" s="115"/>
      <c r="G439" s="117"/>
      <c r="H439" s="118"/>
      <c r="I439" s="123"/>
      <c r="K439" s="84"/>
    </row>
    <row r="440" spans="1:11" s="16" customFormat="1" ht="10.5" customHeight="1">
      <c r="A440" s="113" t="s">
        <v>824</v>
      </c>
      <c r="B440" s="103" t="s">
        <v>348</v>
      </c>
      <c r="C440" s="114" t="s">
        <v>739</v>
      </c>
      <c r="D440" s="115" t="s">
        <v>831</v>
      </c>
      <c r="E440" s="116">
        <f>0.978-0.094-0.11</f>
        <v>0.774</v>
      </c>
      <c r="F440" s="115" t="s">
        <v>832</v>
      </c>
      <c r="G440" s="122">
        <f>0.95+0.548+0.344-0.15</f>
        <v>1.6920000000000002</v>
      </c>
      <c r="H440" s="118"/>
      <c r="I440" s="119"/>
      <c r="K440" s="84"/>
    </row>
    <row r="441" spans="1:11" s="16" customFormat="1" ht="10.5" customHeight="1">
      <c r="A441" s="113" t="s">
        <v>824</v>
      </c>
      <c r="B441" s="103" t="s">
        <v>370</v>
      </c>
      <c r="C441" s="114" t="s">
        <v>386</v>
      </c>
      <c r="D441" s="115" t="s">
        <v>759</v>
      </c>
      <c r="E441" s="116">
        <v>2.21</v>
      </c>
      <c r="F441" s="115"/>
      <c r="G441" s="122"/>
      <c r="H441" s="118"/>
      <c r="I441" s="119"/>
      <c r="K441" s="84"/>
    </row>
    <row r="442" spans="1:11" s="16" customFormat="1" ht="10.5" customHeight="1">
      <c r="A442" s="113" t="s">
        <v>824</v>
      </c>
      <c r="B442" s="103" t="s">
        <v>364</v>
      </c>
      <c r="C442" s="114" t="s">
        <v>833</v>
      </c>
      <c r="D442" s="115"/>
      <c r="E442" s="116">
        <v>0.095</v>
      </c>
      <c r="F442" s="115"/>
      <c r="G442" s="126"/>
      <c r="H442" s="121"/>
      <c r="I442" s="123"/>
      <c r="K442" s="84"/>
    </row>
    <row r="443" spans="1:11" s="16" customFormat="1" ht="13.5" customHeight="1">
      <c r="A443" s="128"/>
      <c r="B443" s="109"/>
      <c r="C443" s="129" t="s">
        <v>834</v>
      </c>
      <c r="D443" s="109"/>
      <c r="E443" s="106"/>
      <c r="F443" s="109"/>
      <c r="G443" s="112"/>
      <c r="H443" s="107"/>
      <c r="I443" s="108"/>
      <c r="K443" s="84"/>
    </row>
    <row r="444" spans="1:11" s="16" customFormat="1" ht="10.5" customHeight="1">
      <c r="A444" s="113" t="s">
        <v>835</v>
      </c>
      <c r="B444" s="103" t="s">
        <v>348</v>
      </c>
      <c r="C444" s="114" t="s">
        <v>836</v>
      </c>
      <c r="D444" s="115" t="s">
        <v>447</v>
      </c>
      <c r="E444" s="116">
        <v>0.465</v>
      </c>
      <c r="F444" s="115"/>
      <c r="G444" s="117"/>
      <c r="H444" s="118"/>
      <c r="I444" s="119"/>
      <c r="K444" s="84"/>
    </row>
    <row r="445" spans="1:11" s="16" customFormat="1" ht="10.5" customHeight="1">
      <c r="A445" s="113" t="s">
        <v>835</v>
      </c>
      <c r="B445" s="103" t="s">
        <v>348</v>
      </c>
      <c r="C445" s="114" t="s">
        <v>837</v>
      </c>
      <c r="D445" s="115"/>
      <c r="E445" s="116">
        <v>0.793</v>
      </c>
      <c r="F445" s="115"/>
      <c r="G445" s="117"/>
      <c r="H445" s="121"/>
      <c r="I445" s="119"/>
      <c r="K445" s="84"/>
    </row>
    <row r="446" spans="1:11" s="16" customFormat="1" ht="10.5" customHeight="1">
      <c r="A446" s="113" t="s">
        <v>835</v>
      </c>
      <c r="B446" s="103" t="s">
        <v>348</v>
      </c>
      <c r="C446" s="114" t="s">
        <v>838</v>
      </c>
      <c r="D446" s="115"/>
      <c r="E446" s="116">
        <v>1.713</v>
      </c>
      <c r="F446" s="115"/>
      <c r="G446" s="117"/>
      <c r="H446" s="121"/>
      <c r="I446" s="119"/>
      <c r="K446" s="84"/>
    </row>
    <row r="447" spans="1:11" s="16" customFormat="1" ht="10.5" customHeight="1">
      <c r="A447" s="113" t="s">
        <v>835</v>
      </c>
      <c r="B447" s="103" t="s">
        <v>348</v>
      </c>
      <c r="C447" s="114" t="s">
        <v>839</v>
      </c>
      <c r="D447" s="115"/>
      <c r="E447" s="116">
        <v>3.338</v>
      </c>
      <c r="F447" s="115"/>
      <c r="G447" s="117"/>
      <c r="H447" s="121"/>
      <c r="I447" s="119"/>
      <c r="K447" s="84"/>
    </row>
    <row r="448" spans="1:11" s="16" customFormat="1" ht="10.5" customHeight="1">
      <c r="A448" s="113" t="s">
        <v>835</v>
      </c>
      <c r="B448" s="103" t="s">
        <v>348</v>
      </c>
      <c r="C448" s="114" t="s">
        <v>825</v>
      </c>
      <c r="D448" s="115"/>
      <c r="E448" s="116">
        <v>1.093</v>
      </c>
      <c r="F448" s="115"/>
      <c r="G448" s="117"/>
      <c r="H448" s="121"/>
      <c r="I448" s="119"/>
      <c r="K448" s="84"/>
    </row>
    <row r="449" spans="1:11" s="16" customFormat="1" ht="10.5" customHeight="1">
      <c r="A449" s="113" t="s">
        <v>835</v>
      </c>
      <c r="B449" s="103" t="s">
        <v>348</v>
      </c>
      <c r="C449" s="114" t="s">
        <v>826</v>
      </c>
      <c r="D449" s="115"/>
      <c r="E449" s="116">
        <v>1.808</v>
      </c>
      <c r="F449" s="115"/>
      <c r="G449" s="117"/>
      <c r="H449" s="121"/>
      <c r="I449" s="119"/>
      <c r="K449" s="84"/>
    </row>
    <row r="450" spans="1:11" s="16" customFormat="1" ht="10.5" customHeight="1">
      <c r="A450" s="113" t="s">
        <v>835</v>
      </c>
      <c r="B450" s="103" t="s">
        <v>348</v>
      </c>
      <c r="C450" s="114" t="s">
        <v>444</v>
      </c>
      <c r="D450" s="115"/>
      <c r="E450" s="116">
        <v>1.735</v>
      </c>
      <c r="F450" s="115"/>
      <c r="G450" s="117"/>
      <c r="H450" s="121"/>
      <c r="I450" s="119"/>
      <c r="K450" s="84"/>
    </row>
    <row r="451" spans="1:11" s="16" customFormat="1" ht="10.5" customHeight="1">
      <c r="A451" s="113" t="s">
        <v>835</v>
      </c>
      <c r="B451" s="103" t="s">
        <v>348</v>
      </c>
      <c r="C451" s="114" t="s">
        <v>840</v>
      </c>
      <c r="D451" s="115"/>
      <c r="E451" s="116">
        <v>2.578</v>
      </c>
      <c r="F451" s="115"/>
      <c r="G451" s="117"/>
      <c r="H451" s="121"/>
      <c r="I451" s="119"/>
      <c r="K451" s="84"/>
    </row>
    <row r="452" spans="1:11" s="16" customFormat="1" ht="10.5" customHeight="1">
      <c r="A452" s="113" t="s">
        <v>835</v>
      </c>
      <c r="B452" s="103" t="s">
        <v>348</v>
      </c>
      <c r="C452" s="114" t="s">
        <v>841</v>
      </c>
      <c r="D452" s="115"/>
      <c r="E452" s="116">
        <v>0.815</v>
      </c>
      <c r="F452" s="115"/>
      <c r="G452" s="117"/>
      <c r="H452" s="121">
        <v>0.5</v>
      </c>
      <c r="I452" s="119"/>
      <c r="K452" s="84"/>
    </row>
    <row r="453" spans="1:11" s="16" customFormat="1" ht="10.5" customHeight="1">
      <c r="A453" s="113" t="s">
        <v>835</v>
      </c>
      <c r="B453" s="103" t="s">
        <v>348</v>
      </c>
      <c r="C453" s="114" t="s">
        <v>842</v>
      </c>
      <c r="D453" s="115"/>
      <c r="E453" s="116">
        <v>1.79</v>
      </c>
      <c r="F453" s="115"/>
      <c r="G453" s="117"/>
      <c r="H453" s="121">
        <v>0.5</v>
      </c>
      <c r="I453" s="119"/>
      <c r="K453" s="84"/>
    </row>
    <row r="454" spans="1:11" s="16" customFormat="1" ht="10.5" customHeight="1">
      <c r="A454" s="113" t="s">
        <v>835</v>
      </c>
      <c r="B454" s="103" t="s">
        <v>348</v>
      </c>
      <c r="C454" s="114" t="s">
        <v>827</v>
      </c>
      <c r="D454" s="115"/>
      <c r="E454" s="116">
        <v>2.07</v>
      </c>
      <c r="F454" s="115"/>
      <c r="G454" s="117"/>
      <c r="H454" s="121">
        <v>0.5</v>
      </c>
      <c r="I454" s="119"/>
      <c r="K454" s="84"/>
    </row>
    <row r="455" spans="1:11" s="16" customFormat="1" ht="10.5" customHeight="1">
      <c r="A455" s="113" t="s">
        <v>835</v>
      </c>
      <c r="B455" s="103" t="s">
        <v>348</v>
      </c>
      <c r="C455" s="114" t="s">
        <v>843</v>
      </c>
      <c r="D455" s="115"/>
      <c r="E455" s="116">
        <v>0.35</v>
      </c>
      <c r="F455" s="115"/>
      <c r="G455" s="117"/>
      <c r="H455" s="121">
        <v>0.5</v>
      </c>
      <c r="I455" s="119"/>
      <c r="K455" s="84"/>
    </row>
    <row r="456" spans="1:11" s="16" customFormat="1" ht="10.5" customHeight="1">
      <c r="A456" s="113" t="s">
        <v>835</v>
      </c>
      <c r="B456" s="103" t="s">
        <v>348</v>
      </c>
      <c r="C456" s="114" t="s">
        <v>349</v>
      </c>
      <c r="D456" s="115"/>
      <c r="E456" s="116">
        <v>0.83</v>
      </c>
      <c r="F456" s="115"/>
      <c r="G456" s="117"/>
      <c r="H456" s="121">
        <v>0.5</v>
      </c>
      <c r="I456" s="119"/>
      <c r="K456" s="84"/>
    </row>
    <row r="457" spans="1:11" s="16" customFormat="1" ht="10.5" customHeight="1">
      <c r="A457" s="113" t="s">
        <v>835</v>
      </c>
      <c r="B457" s="103" t="s">
        <v>348</v>
      </c>
      <c r="C457" s="114" t="s">
        <v>844</v>
      </c>
      <c r="D457" s="115"/>
      <c r="E457" s="116">
        <v>2.01</v>
      </c>
      <c r="F457" s="115"/>
      <c r="G457" s="117"/>
      <c r="H457" s="121">
        <v>0.5</v>
      </c>
      <c r="I457" s="119"/>
      <c r="K457" s="84"/>
    </row>
    <row r="458" spans="1:11" s="16" customFormat="1" ht="10.5" customHeight="1">
      <c r="A458" s="113" t="s">
        <v>835</v>
      </c>
      <c r="B458" s="103" t="s">
        <v>348</v>
      </c>
      <c r="C458" s="114" t="s">
        <v>845</v>
      </c>
      <c r="D458" s="115"/>
      <c r="E458" s="116">
        <v>1.085</v>
      </c>
      <c r="F458" s="115"/>
      <c r="G458" s="117"/>
      <c r="H458" s="121"/>
      <c r="I458" s="119"/>
      <c r="K458" s="84"/>
    </row>
    <row r="459" spans="1:11" s="16" customFormat="1" ht="10.5" customHeight="1">
      <c r="A459" s="113" t="s">
        <v>835</v>
      </c>
      <c r="B459" s="103" t="s">
        <v>348</v>
      </c>
      <c r="C459" s="114" t="s">
        <v>846</v>
      </c>
      <c r="D459" s="115"/>
      <c r="E459" s="116">
        <v>0.5</v>
      </c>
      <c r="F459" s="115"/>
      <c r="G459" s="117"/>
      <c r="H459" s="121">
        <v>1</v>
      </c>
      <c r="I459" s="119"/>
      <c r="K459" s="84"/>
    </row>
    <row r="460" spans="1:11" s="16" customFormat="1" ht="10.5" customHeight="1">
      <c r="A460" s="113" t="s">
        <v>835</v>
      </c>
      <c r="B460" s="103" t="s">
        <v>348</v>
      </c>
      <c r="C460" s="114" t="s">
        <v>352</v>
      </c>
      <c r="D460" s="115"/>
      <c r="E460" s="116"/>
      <c r="F460" s="115"/>
      <c r="G460" s="117"/>
      <c r="H460" s="121">
        <v>1</v>
      </c>
      <c r="I460" s="119"/>
      <c r="K460" s="84"/>
    </row>
    <row r="461" spans="1:11" s="16" customFormat="1" ht="10.5" customHeight="1">
      <c r="A461" s="113" t="s">
        <v>835</v>
      </c>
      <c r="B461" s="103" t="s">
        <v>348</v>
      </c>
      <c r="C461" s="114" t="s">
        <v>728</v>
      </c>
      <c r="D461" s="115"/>
      <c r="E461" s="116">
        <v>0.42</v>
      </c>
      <c r="F461" s="115"/>
      <c r="G461" s="117"/>
      <c r="H461" s="121"/>
      <c r="I461" s="119"/>
      <c r="K461" s="84"/>
    </row>
    <row r="462" spans="1:11" s="16" customFormat="1" ht="10.5" customHeight="1">
      <c r="A462" s="113" t="s">
        <v>835</v>
      </c>
      <c r="B462" s="103" t="s">
        <v>348</v>
      </c>
      <c r="C462" s="114" t="s">
        <v>353</v>
      </c>
      <c r="D462" s="115"/>
      <c r="E462" s="116">
        <v>1.54</v>
      </c>
      <c r="F462" s="115"/>
      <c r="G462" s="117"/>
      <c r="H462" s="121">
        <v>1</v>
      </c>
      <c r="I462" s="119"/>
      <c r="K462" s="84"/>
    </row>
    <row r="463" spans="1:11" s="16" customFormat="1" ht="10.5" customHeight="1">
      <c r="A463" s="113" t="s">
        <v>835</v>
      </c>
      <c r="B463" s="103" t="s">
        <v>348</v>
      </c>
      <c r="C463" s="114" t="s">
        <v>773</v>
      </c>
      <c r="D463" s="115"/>
      <c r="E463" s="116">
        <v>0.29</v>
      </c>
      <c r="F463" s="115"/>
      <c r="G463" s="117"/>
      <c r="H463" s="121">
        <v>1</v>
      </c>
      <c r="I463" s="119"/>
      <c r="K463" s="84"/>
    </row>
    <row r="464" spans="1:11" s="16" customFormat="1" ht="10.5" customHeight="1">
      <c r="A464" s="113" t="s">
        <v>835</v>
      </c>
      <c r="B464" s="103" t="s">
        <v>348</v>
      </c>
      <c r="C464" s="114" t="s">
        <v>369</v>
      </c>
      <c r="D464" s="115"/>
      <c r="E464" s="116">
        <v>1.418</v>
      </c>
      <c r="F464" s="115"/>
      <c r="G464" s="117"/>
      <c r="H464" s="121">
        <v>1</v>
      </c>
      <c r="I464" s="119"/>
      <c r="K464" s="84"/>
    </row>
    <row r="465" spans="1:11" s="16" customFormat="1" ht="10.5" customHeight="1">
      <c r="A465" s="113" t="s">
        <v>835</v>
      </c>
      <c r="B465" s="103" t="s">
        <v>348</v>
      </c>
      <c r="C465" s="114" t="s">
        <v>847</v>
      </c>
      <c r="D465" s="115"/>
      <c r="E465" s="116"/>
      <c r="F465" s="115"/>
      <c r="G465" s="117"/>
      <c r="H465" s="121">
        <v>1</v>
      </c>
      <c r="I465" s="119"/>
      <c r="K465" s="84"/>
    </row>
    <row r="466" spans="1:11" s="16" customFormat="1" ht="10.5" customHeight="1">
      <c r="A466" s="113" t="s">
        <v>835</v>
      </c>
      <c r="B466" s="103" t="s">
        <v>348</v>
      </c>
      <c r="C466" s="114" t="s">
        <v>355</v>
      </c>
      <c r="D466" s="115"/>
      <c r="E466" s="116">
        <v>0.95</v>
      </c>
      <c r="F466" s="115"/>
      <c r="G466" s="117"/>
      <c r="H466" s="121"/>
      <c r="I466" s="119"/>
      <c r="K466" s="84"/>
    </row>
    <row r="467" spans="1:11" s="16" customFormat="1" ht="10.5" customHeight="1">
      <c r="A467" s="113" t="s">
        <v>835</v>
      </c>
      <c r="B467" s="103" t="s">
        <v>348</v>
      </c>
      <c r="C467" s="114" t="s">
        <v>356</v>
      </c>
      <c r="D467" s="115"/>
      <c r="E467" s="116">
        <v>1.465</v>
      </c>
      <c r="F467" s="115"/>
      <c r="G467" s="117"/>
      <c r="H467" s="121"/>
      <c r="I467" s="119"/>
      <c r="K467" s="84"/>
    </row>
    <row r="468" spans="1:11" s="16" customFormat="1" ht="10.5" customHeight="1">
      <c r="A468" s="113" t="s">
        <v>835</v>
      </c>
      <c r="B468" s="103" t="s">
        <v>348</v>
      </c>
      <c r="C468" s="114" t="s">
        <v>781</v>
      </c>
      <c r="D468" s="115"/>
      <c r="E468" s="116">
        <v>1.659</v>
      </c>
      <c r="F468" s="115"/>
      <c r="G468" s="117"/>
      <c r="H468" s="121"/>
      <c r="I468" s="119"/>
      <c r="K468" s="84"/>
    </row>
    <row r="469" spans="1:11" s="16" customFormat="1" ht="10.5" customHeight="1">
      <c r="A469" s="113" t="s">
        <v>835</v>
      </c>
      <c r="B469" s="103" t="s">
        <v>348</v>
      </c>
      <c r="C469" s="114" t="s">
        <v>782</v>
      </c>
      <c r="D469" s="115"/>
      <c r="E469" s="116">
        <v>1</v>
      </c>
      <c r="F469" s="115"/>
      <c r="G469" s="117"/>
      <c r="H469" s="121"/>
      <c r="I469" s="119"/>
      <c r="K469" s="84"/>
    </row>
    <row r="470" spans="1:11" s="16" customFormat="1" ht="10.5" customHeight="1">
      <c r="A470" s="113" t="s">
        <v>835</v>
      </c>
      <c r="B470" s="103" t="s">
        <v>348</v>
      </c>
      <c r="C470" s="114" t="s">
        <v>848</v>
      </c>
      <c r="D470" s="115"/>
      <c r="E470" s="116">
        <v>1.72</v>
      </c>
      <c r="F470" s="115"/>
      <c r="G470" s="117"/>
      <c r="H470" s="121"/>
      <c r="I470" s="119"/>
      <c r="K470" s="84"/>
    </row>
    <row r="471" spans="1:11" s="16" customFormat="1" ht="10.5" customHeight="1">
      <c r="A471" s="113" t="s">
        <v>835</v>
      </c>
      <c r="B471" s="103" t="s">
        <v>348</v>
      </c>
      <c r="C471" s="114" t="s">
        <v>849</v>
      </c>
      <c r="D471" s="115"/>
      <c r="E471" s="116"/>
      <c r="F471" s="115"/>
      <c r="G471" s="117"/>
      <c r="H471" s="121">
        <v>1</v>
      </c>
      <c r="I471" s="119"/>
      <c r="K471" s="84"/>
    </row>
    <row r="472" spans="1:11" s="16" customFormat="1" ht="10.5" customHeight="1">
      <c r="A472" s="113" t="s">
        <v>835</v>
      </c>
      <c r="B472" s="103" t="s">
        <v>348</v>
      </c>
      <c r="C472" s="114" t="s">
        <v>791</v>
      </c>
      <c r="D472" s="115"/>
      <c r="E472" s="116">
        <v>1.149</v>
      </c>
      <c r="F472" s="115"/>
      <c r="G472" s="117"/>
      <c r="H472" s="121"/>
      <c r="I472" s="119"/>
      <c r="K472" s="84"/>
    </row>
    <row r="473" spans="1:11" s="16" customFormat="1" ht="10.5" customHeight="1">
      <c r="A473" s="113" t="s">
        <v>850</v>
      </c>
      <c r="B473" s="103" t="s">
        <v>348</v>
      </c>
      <c r="C473" s="114">
        <v>10</v>
      </c>
      <c r="D473" s="115" t="s">
        <v>447</v>
      </c>
      <c r="E473" s="116">
        <f>0.036-0.002</f>
        <v>0.033999999999999996</v>
      </c>
      <c r="F473" s="115"/>
      <c r="G473" s="117"/>
      <c r="H473" s="118"/>
      <c r="I473" s="119"/>
      <c r="K473" s="84"/>
    </row>
    <row r="474" spans="1:11" s="16" customFormat="1" ht="10.5" customHeight="1">
      <c r="A474" s="113" t="s">
        <v>850</v>
      </c>
      <c r="B474" s="103" t="s">
        <v>348</v>
      </c>
      <c r="C474" s="114">
        <v>12</v>
      </c>
      <c r="D474" s="115" t="s">
        <v>447</v>
      </c>
      <c r="E474" s="116">
        <f>0.056-0.003-0.01</f>
        <v>0.043</v>
      </c>
      <c r="F474" s="115"/>
      <c r="G474" s="117"/>
      <c r="H474" s="118"/>
      <c r="I474" s="119"/>
      <c r="K474" s="84"/>
    </row>
    <row r="475" spans="1:11" s="16" customFormat="1" ht="10.5" customHeight="1">
      <c r="A475" s="113" t="s">
        <v>850</v>
      </c>
      <c r="B475" s="103" t="s">
        <v>348</v>
      </c>
      <c r="C475" s="114" t="s">
        <v>839</v>
      </c>
      <c r="D475" s="115"/>
      <c r="E475" s="116">
        <v>0.3</v>
      </c>
      <c r="F475" s="115"/>
      <c r="G475" s="117"/>
      <c r="H475" s="118"/>
      <c r="I475" s="119"/>
      <c r="K475" s="84"/>
    </row>
    <row r="476" spans="1:11" s="16" customFormat="1" ht="10.5" customHeight="1">
      <c r="A476" s="113" t="s">
        <v>850</v>
      </c>
      <c r="B476" s="103" t="s">
        <v>348</v>
      </c>
      <c r="C476" s="114">
        <v>18</v>
      </c>
      <c r="D476" s="115"/>
      <c r="E476" s="116">
        <v>0.006</v>
      </c>
      <c r="F476" s="115"/>
      <c r="G476" s="117"/>
      <c r="H476" s="118"/>
      <c r="I476" s="119"/>
      <c r="K476" s="84"/>
    </row>
    <row r="477" spans="1:11" s="16" customFormat="1" ht="10.5" customHeight="1">
      <c r="A477" s="113" t="s">
        <v>850</v>
      </c>
      <c r="B477" s="103" t="s">
        <v>348</v>
      </c>
      <c r="C477" s="114" t="s">
        <v>604</v>
      </c>
      <c r="D477" s="115"/>
      <c r="E477" s="120">
        <v>0.34</v>
      </c>
      <c r="F477" s="115"/>
      <c r="G477" s="117"/>
      <c r="H477" s="121">
        <v>0.16</v>
      </c>
      <c r="I477" s="119"/>
      <c r="K477" s="84"/>
    </row>
    <row r="478" spans="1:11" s="16" customFormat="1" ht="10.5" customHeight="1">
      <c r="A478" s="113" t="s">
        <v>850</v>
      </c>
      <c r="B478" s="103" t="s">
        <v>348</v>
      </c>
      <c r="C478" s="114" t="s">
        <v>840</v>
      </c>
      <c r="D478" s="115"/>
      <c r="E478" s="116">
        <v>0.48</v>
      </c>
      <c r="F478" s="115"/>
      <c r="G478" s="117"/>
      <c r="H478" s="118"/>
      <c r="I478" s="119"/>
      <c r="K478" s="84"/>
    </row>
    <row r="479" spans="1:11" s="16" customFormat="1" ht="10.5" customHeight="1">
      <c r="A479" s="113" t="s">
        <v>850</v>
      </c>
      <c r="B479" s="103" t="s">
        <v>348</v>
      </c>
      <c r="C479" s="114" t="s">
        <v>605</v>
      </c>
      <c r="D479" s="115"/>
      <c r="E479" s="120">
        <v>0.54</v>
      </c>
      <c r="F479" s="115"/>
      <c r="G479" s="117"/>
      <c r="H479" s="121"/>
      <c r="I479" s="119"/>
      <c r="K479" s="84"/>
    </row>
    <row r="480" spans="1:11" s="16" customFormat="1" ht="10.5" customHeight="1">
      <c r="A480" s="113" t="s">
        <v>850</v>
      </c>
      <c r="B480" s="103" t="s">
        <v>348</v>
      </c>
      <c r="C480" s="114" t="s">
        <v>722</v>
      </c>
      <c r="D480" s="115"/>
      <c r="E480" s="120">
        <v>1.05</v>
      </c>
      <c r="F480" s="115"/>
      <c r="G480" s="117"/>
      <c r="H480" s="121"/>
      <c r="I480" s="119"/>
      <c r="K480" s="84"/>
    </row>
    <row r="481" spans="1:11" s="16" customFormat="1" ht="10.5" customHeight="1">
      <c r="A481" s="113" t="s">
        <v>850</v>
      </c>
      <c r="B481" s="103" t="s">
        <v>348</v>
      </c>
      <c r="C481" s="114" t="s">
        <v>851</v>
      </c>
      <c r="D481" s="115"/>
      <c r="E481" s="120">
        <v>0.17</v>
      </c>
      <c r="F481" s="115"/>
      <c r="G481" s="117"/>
      <c r="H481" s="121">
        <v>0.3</v>
      </c>
      <c r="I481" s="119"/>
      <c r="K481" s="84"/>
    </row>
    <row r="482" spans="1:11" s="16" customFormat="1" ht="10.5" customHeight="1">
      <c r="A482" s="113" t="s">
        <v>850</v>
      </c>
      <c r="B482" s="103" t="s">
        <v>348</v>
      </c>
      <c r="C482" s="114" t="s">
        <v>827</v>
      </c>
      <c r="D482" s="115"/>
      <c r="E482" s="116">
        <v>0.84</v>
      </c>
      <c r="F482" s="115"/>
      <c r="G482" s="117"/>
      <c r="H482" s="121"/>
      <c r="I482" s="119"/>
      <c r="K482" s="84"/>
    </row>
    <row r="483" spans="1:11" s="16" customFormat="1" ht="10.5" customHeight="1">
      <c r="A483" s="113" t="s">
        <v>850</v>
      </c>
      <c r="B483" s="103" t="s">
        <v>348</v>
      </c>
      <c r="C483" s="114" t="s">
        <v>402</v>
      </c>
      <c r="D483" s="115"/>
      <c r="E483" s="120">
        <v>0.11</v>
      </c>
      <c r="F483" s="115"/>
      <c r="G483" s="117"/>
      <c r="H483" s="121"/>
      <c r="I483" s="119"/>
      <c r="K483" s="84"/>
    </row>
    <row r="484" spans="1:11" s="16" customFormat="1" ht="10.5" customHeight="1">
      <c r="A484" s="113" t="s">
        <v>850</v>
      </c>
      <c r="B484" s="103" t="s">
        <v>348</v>
      </c>
      <c r="C484" s="114" t="s">
        <v>852</v>
      </c>
      <c r="D484" s="115"/>
      <c r="E484" s="116"/>
      <c r="F484" s="115"/>
      <c r="G484" s="117"/>
      <c r="H484" s="121">
        <v>0.5</v>
      </c>
      <c r="I484" s="119"/>
      <c r="K484" s="84"/>
    </row>
    <row r="485" spans="1:11" s="16" customFormat="1" ht="10.5" customHeight="1">
      <c r="A485" s="113" t="s">
        <v>850</v>
      </c>
      <c r="B485" s="103" t="s">
        <v>348</v>
      </c>
      <c r="C485" s="114" t="s">
        <v>349</v>
      </c>
      <c r="D485" s="115"/>
      <c r="E485" s="116">
        <v>0.46</v>
      </c>
      <c r="F485" s="115"/>
      <c r="G485" s="117"/>
      <c r="H485" s="121">
        <v>1</v>
      </c>
      <c r="I485" s="119"/>
      <c r="K485" s="84"/>
    </row>
    <row r="486" spans="1:11" s="16" customFormat="1" ht="10.5" customHeight="1">
      <c r="A486" s="113" t="s">
        <v>850</v>
      </c>
      <c r="B486" s="103" t="s">
        <v>348</v>
      </c>
      <c r="C486" s="114" t="s">
        <v>844</v>
      </c>
      <c r="D486" s="115"/>
      <c r="E486" s="116">
        <v>0.58</v>
      </c>
      <c r="F486" s="115"/>
      <c r="G486" s="117"/>
      <c r="H486" s="121">
        <v>0.5</v>
      </c>
      <c r="I486" s="119"/>
      <c r="K486" s="84"/>
    </row>
    <row r="487" spans="1:11" s="16" customFormat="1" ht="10.5" customHeight="1">
      <c r="A487" s="113" t="s">
        <v>850</v>
      </c>
      <c r="B487" s="103" t="s">
        <v>348</v>
      </c>
      <c r="C487" s="114">
        <v>60</v>
      </c>
      <c r="D487" s="115" t="s">
        <v>687</v>
      </c>
      <c r="E487" s="116">
        <f>1.886-0.11-0.164-0.112-0.056-0.058-0.11-0.224-0.224-0.21-0.056</f>
        <v>0.5619999999999996</v>
      </c>
      <c r="F487" s="115"/>
      <c r="G487" s="117"/>
      <c r="H487" s="121">
        <v>1</v>
      </c>
      <c r="I487" s="119"/>
      <c r="K487" s="84"/>
    </row>
    <row r="488" spans="1:11" s="16" customFormat="1" ht="10.5" customHeight="1">
      <c r="A488" s="113" t="s">
        <v>850</v>
      </c>
      <c r="B488" s="103" t="s">
        <v>348</v>
      </c>
      <c r="C488" s="114" t="s">
        <v>352</v>
      </c>
      <c r="D488" s="115"/>
      <c r="E488" s="116">
        <v>0.97</v>
      </c>
      <c r="F488" s="115"/>
      <c r="G488" s="117"/>
      <c r="H488" s="118"/>
      <c r="I488" s="119"/>
      <c r="K488" s="84"/>
    </row>
    <row r="489" spans="1:11" s="16" customFormat="1" ht="10.5" customHeight="1">
      <c r="A489" s="113" t="s">
        <v>850</v>
      </c>
      <c r="B489" s="103" t="s">
        <v>348</v>
      </c>
      <c r="C489" s="114" t="s">
        <v>353</v>
      </c>
      <c r="D489" s="115"/>
      <c r="E489" s="116">
        <v>0.75</v>
      </c>
      <c r="F489" s="115"/>
      <c r="G489" s="117"/>
      <c r="H489" s="118"/>
      <c r="I489" s="119"/>
      <c r="K489" s="84"/>
    </row>
    <row r="490" spans="1:11" s="16" customFormat="1" ht="10.5" customHeight="1">
      <c r="A490" s="113" t="s">
        <v>850</v>
      </c>
      <c r="B490" s="103" t="s">
        <v>348</v>
      </c>
      <c r="C490" s="114" t="s">
        <v>773</v>
      </c>
      <c r="D490" s="115"/>
      <c r="E490" s="116">
        <v>1.146</v>
      </c>
      <c r="F490" s="115"/>
      <c r="G490" s="117"/>
      <c r="H490" s="118"/>
      <c r="I490" s="119"/>
      <c r="K490" s="84"/>
    </row>
    <row r="491" spans="1:11" s="16" customFormat="1" ht="10.5" customHeight="1">
      <c r="A491" s="113" t="s">
        <v>850</v>
      </c>
      <c r="B491" s="103" t="s">
        <v>348</v>
      </c>
      <c r="C491" s="114" t="s">
        <v>369</v>
      </c>
      <c r="D491" s="115"/>
      <c r="E491" s="116">
        <v>0.416</v>
      </c>
      <c r="F491" s="115"/>
      <c r="G491" s="117"/>
      <c r="H491" s="118"/>
      <c r="I491" s="119"/>
      <c r="K491" s="84"/>
    </row>
    <row r="492" spans="1:11" s="16" customFormat="1" ht="10.5" customHeight="1">
      <c r="A492" s="113" t="s">
        <v>850</v>
      </c>
      <c r="B492" s="103" t="s">
        <v>348</v>
      </c>
      <c r="C492" s="114" t="s">
        <v>355</v>
      </c>
      <c r="D492" s="115"/>
      <c r="E492" s="116">
        <v>0.99</v>
      </c>
      <c r="F492" s="115"/>
      <c r="G492" s="117"/>
      <c r="H492" s="118"/>
      <c r="I492" s="119"/>
      <c r="K492" s="84"/>
    </row>
    <row r="493" spans="1:11" s="16" customFormat="1" ht="10.5" customHeight="1">
      <c r="A493" s="113" t="s">
        <v>850</v>
      </c>
      <c r="B493" s="103" t="s">
        <v>348</v>
      </c>
      <c r="C493" s="114" t="s">
        <v>356</v>
      </c>
      <c r="D493" s="115"/>
      <c r="E493" s="116">
        <v>1.43</v>
      </c>
      <c r="F493" s="115"/>
      <c r="G493" s="117"/>
      <c r="H493" s="118"/>
      <c r="I493" s="119"/>
      <c r="K493" s="84"/>
    </row>
    <row r="494" spans="1:11" s="16" customFormat="1" ht="10.5" customHeight="1">
      <c r="A494" s="113" t="s">
        <v>850</v>
      </c>
      <c r="B494" s="103" t="s">
        <v>348</v>
      </c>
      <c r="C494" s="114" t="s">
        <v>758</v>
      </c>
      <c r="D494" s="115"/>
      <c r="E494" s="116">
        <v>0.67</v>
      </c>
      <c r="F494" s="115"/>
      <c r="G494" s="117"/>
      <c r="H494" s="118"/>
      <c r="I494" s="119"/>
      <c r="K494" s="84"/>
    </row>
    <row r="495" spans="1:11" s="16" customFormat="1" ht="10.5" customHeight="1">
      <c r="A495" s="113" t="s">
        <v>850</v>
      </c>
      <c r="B495" s="103" t="s">
        <v>348</v>
      </c>
      <c r="C495" s="114" t="s">
        <v>848</v>
      </c>
      <c r="D495" s="115"/>
      <c r="E495" s="116">
        <v>1.16</v>
      </c>
      <c r="F495" s="115"/>
      <c r="G495" s="117"/>
      <c r="H495" s="118"/>
      <c r="I495" s="119"/>
      <c r="K495" s="84"/>
    </row>
    <row r="496" spans="1:11" s="16" customFormat="1" ht="10.5" customHeight="1">
      <c r="A496" s="113" t="s">
        <v>850</v>
      </c>
      <c r="B496" s="103" t="s">
        <v>348</v>
      </c>
      <c r="C496" s="114" t="s">
        <v>741</v>
      </c>
      <c r="D496" s="115"/>
      <c r="E496" s="116">
        <v>1.185</v>
      </c>
      <c r="F496" s="115"/>
      <c r="G496" s="117"/>
      <c r="H496" s="118"/>
      <c r="I496" s="119"/>
      <c r="K496" s="84"/>
    </row>
    <row r="497" spans="1:11" s="16" customFormat="1" ht="10.5" customHeight="1">
      <c r="A497" s="113" t="s">
        <v>850</v>
      </c>
      <c r="B497" s="103" t="s">
        <v>348</v>
      </c>
      <c r="C497" s="114" t="s">
        <v>760</v>
      </c>
      <c r="D497" s="115"/>
      <c r="E497" s="116">
        <v>0.226</v>
      </c>
      <c r="F497" s="115"/>
      <c r="G497" s="117"/>
      <c r="H497" s="118"/>
      <c r="I497" s="119"/>
      <c r="K497" s="84"/>
    </row>
    <row r="498" spans="1:11" s="16" customFormat="1" ht="10.5" customHeight="1">
      <c r="A498" s="113" t="s">
        <v>853</v>
      </c>
      <c r="B498" s="103" t="s">
        <v>348</v>
      </c>
      <c r="C498" s="114">
        <v>42</v>
      </c>
      <c r="D498" s="115"/>
      <c r="E498" s="116">
        <v>0.036</v>
      </c>
      <c r="F498" s="115"/>
      <c r="G498" s="117"/>
      <c r="H498" s="118"/>
      <c r="I498" s="119"/>
      <c r="K498" s="84"/>
    </row>
    <row r="499" spans="1:11" s="16" customFormat="1" ht="13.5" customHeight="1">
      <c r="A499" s="128"/>
      <c r="B499" s="109"/>
      <c r="C499" s="129" t="s">
        <v>854</v>
      </c>
      <c r="D499" s="109"/>
      <c r="E499" s="106"/>
      <c r="F499" s="109"/>
      <c r="G499" s="112"/>
      <c r="H499" s="107"/>
      <c r="I499" s="108"/>
      <c r="K499" s="84"/>
    </row>
    <row r="500" spans="1:11" s="16" customFormat="1" ht="10.5" customHeight="1">
      <c r="A500" s="113" t="s">
        <v>855</v>
      </c>
      <c r="B500" s="103" t="s">
        <v>348</v>
      </c>
      <c r="C500" s="114">
        <v>13</v>
      </c>
      <c r="D500" s="115" t="s">
        <v>612</v>
      </c>
      <c r="E500" s="116">
        <f>0.53-0.05-0.004</f>
        <v>0.47600000000000003</v>
      </c>
      <c r="F500" s="115"/>
      <c r="G500" s="117"/>
      <c r="H500" s="118"/>
      <c r="I500" s="119"/>
      <c r="K500" s="84"/>
    </row>
    <row r="501" spans="1:11" s="16" customFormat="1" ht="10.5" customHeight="1">
      <c r="A501" s="113" t="s">
        <v>855</v>
      </c>
      <c r="B501" s="103" t="s">
        <v>348</v>
      </c>
      <c r="C501" s="114">
        <v>18</v>
      </c>
      <c r="D501" s="115" t="s">
        <v>447</v>
      </c>
      <c r="E501" s="116">
        <f>0.52-0.104-0.204</f>
        <v>0.21200000000000005</v>
      </c>
      <c r="F501" s="115"/>
      <c r="G501" s="117"/>
      <c r="H501" s="118"/>
      <c r="I501" s="119"/>
      <c r="K501" s="84"/>
    </row>
    <row r="502" spans="1:11" s="16" customFormat="1" ht="10.5" customHeight="1">
      <c r="A502" s="113" t="s">
        <v>855</v>
      </c>
      <c r="B502" s="103" t="s">
        <v>348</v>
      </c>
      <c r="C502" s="114">
        <v>24</v>
      </c>
      <c r="D502" s="115"/>
      <c r="E502" s="116">
        <f>0.65-0.05-0.012-0.102</f>
        <v>0.486</v>
      </c>
      <c r="F502" s="115"/>
      <c r="G502" s="117"/>
      <c r="H502" s="118"/>
      <c r="I502" s="119"/>
      <c r="K502" s="84"/>
    </row>
    <row r="503" spans="1:11" s="16" customFormat="1" ht="10.5" customHeight="1">
      <c r="A503" s="113" t="s">
        <v>855</v>
      </c>
      <c r="B503" s="103" t="s">
        <v>348</v>
      </c>
      <c r="C503" s="114">
        <v>40</v>
      </c>
      <c r="D503" s="115" t="s">
        <v>403</v>
      </c>
      <c r="E503" s="116">
        <f>0.49-0.034-0.25</f>
        <v>0.20599999999999996</v>
      </c>
      <c r="F503" s="115"/>
      <c r="G503" s="117"/>
      <c r="H503" s="118"/>
      <c r="I503" s="119"/>
      <c r="K503" s="84"/>
    </row>
    <row r="504" spans="1:11" s="16" customFormat="1" ht="10.5" customHeight="1">
      <c r="A504" s="113" t="s">
        <v>855</v>
      </c>
      <c r="B504" s="103" t="s">
        <v>348</v>
      </c>
      <c r="C504" s="114">
        <v>150</v>
      </c>
      <c r="D504" s="115" t="s">
        <v>856</v>
      </c>
      <c r="E504" s="116">
        <f>0.667-0.212</f>
        <v>0.45500000000000007</v>
      </c>
      <c r="F504" s="115"/>
      <c r="G504" s="117"/>
      <c r="H504" s="118"/>
      <c r="I504" s="119"/>
      <c r="K504" s="84"/>
    </row>
    <row r="505" spans="1:11" s="16" customFormat="1" ht="13.5" customHeight="1">
      <c r="A505" s="128"/>
      <c r="B505" s="109"/>
      <c r="C505" s="129" t="s">
        <v>857</v>
      </c>
      <c r="D505" s="109"/>
      <c r="E505" s="106"/>
      <c r="F505" s="109"/>
      <c r="G505" s="112"/>
      <c r="H505" s="107"/>
      <c r="I505" s="108"/>
      <c r="K505" s="84"/>
    </row>
    <row r="506" spans="1:11" s="16" customFormat="1" ht="10.5" customHeight="1">
      <c r="A506" s="113" t="s">
        <v>858</v>
      </c>
      <c r="B506" s="103" t="s">
        <v>348</v>
      </c>
      <c r="C506" s="114">
        <v>30</v>
      </c>
      <c r="D506" s="115"/>
      <c r="E506" s="116"/>
      <c r="F506" s="115"/>
      <c r="G506" s="117"/>
      <c r="H506" s="118">
        <v>2.3</v>
      </c>
      <c r="I506" s="119"/>
      <c r="K506" s="84"/>
    </row>
    <row r="507" spans="1:11" s="16" customFormat="1" ht="10.5" customHeight="1">
      <c r="A507" s="113" t="s">
        <v>858</v>
      </c>
      <c r="B507" s="103" t="s">
        <v>348</v>
      </c>
      <c r="C507" s="114">
        <v>34</v>
      </c>
      <c r="D507" s="115" t="s">
        <v>442</v>
      </c>
      <c r="E507" s="116">
        <v>0.516</v>
      </c>
      <c r="F507" s="115"/>
      <c r="G507" s="117"/>
      <c r="H507" s="118"/>
      <c r="I507" s="119"/>
      <c r="K507" s="84"/>
    </row>
    <row r="508" spans="1:11" s="16" customFormat="1" ht="10.5" customHeight="1">
      <c r="A508" s="113" t="s">
        <v>859</v>
      </c>
      <c r="B508" s="103" t="s">
        <v>348</v>
      </c>
      <c r="C508" s="114">
        <v>40</v>
      </c>
      <c r="D508" s="115"/>
      <c r="E508" s="116"/>
      <c r="F508" s="115" t="s">
        <v>860</v>
      </c>
      <c r="G508" s="117">
        <v>1.023</v>
      </c>
      <c r="H508" s="118"/>
      <c r="I508" s="119"/>
      <c r="K508" s="84"/>
    </row>
    <row r="509" spans="1:11" s="16" customFormat="1" ht="10.5" customHeight="1">
      <c r="A509" s="113" t="s">
        <v>858</v>
      </c>
      <c r="B509" s="103" t="s">
        <v>348</v>
      </c>
      <c r="C509" s="114">
        <v>40</v>
      </c>
      <c r="D509" s="115" t="s">
        <v>861</v>
      </c>
      <c r="E509" s="116">
        <v>2.156</v>
      </c>
      <c r="F509" s="115"/>
      <c r="G509" s="117"/>
      <c r="H509" s="118"/>
      <c r="I509" s="119"/>
      <c r="K509" s="84"/>
    </row>
    <row r="510" spans="1:11" s="16" customFormat="1" ht="10.5" customHeight="1">
      <c r="A510" s="113" t="s">
        <v>858</v>
      </c>
      <c r="B510" s="103" t="s">
        <v>348</v>
      </c>
      <c r="C510" s="114">
        <v>50</v>
      </c>
      <c r="D510" s="115" t="s">
        <v>724</v>
      </c>
      <c r="E510" s="116">
        <f>1.462-1</f>
        <v>0.46199999999999997</v>
      </c>
      <c r="F510" s="115" t="s">
        <v>724</v>
      </c>
      <c r="G510" s="122">
        <v>1</v>
      </c>
      <c r="H510" s="118"/>
      <c r="I510" s="119"/>
      <c r="K510" s="84"/>
    </row>
    <row r="511" spans="1:11" s="16" customFormat="1" ht="10.5" customHeight="1">
      <c r="A511" s="113" t="s">
        <v>858</v>
      </c>
      <c r="B511" s="103" t="s">
        <v>348</v>
      </c>
      <c r="C511" s="114">
        <v>56</v>
      </c>
      <c r="D511" s="115"/>
      <c r="E511" s="116"/>
      <c r="F511" s="115" t="s">
        <v>862</v>
      </c>
      <c r="G511" s="117">
        <v>0.895</v>
      </c>
      <c r="H511" s="118"/>
      <c r="I511" s="119"/>
      <c r="K511" s="84"/>
    </row>
    <row r="512" spans="1:11" s="16" customFormat="1" ht="10.5" customHeight="1">
      <c r="A512" s="113" t="s">
        <v>859</v>
      </c>
      <c r="B512" s="103" t="s">
        <v>348</v>
      </c>
      <c r="C512" s="114">
        <v>60</v>
      </c>
      <c r="D512" s="115"/>
      <c r="E512" s="116"/>
      <c r="F512" s="115"/>
      <c r="G512" s="122">
        <v>0.41</v>
      </c>
      <c r="H512" s="118"/>
      <c r="I512" s="119"/>
      <c r="K512" s="84"/>
    </row>
    <row r="513" spans="1:11" s="16" customFormat="1" ht="10.5" customHeight="1">
      <c r="A513" s="113" t="s">
        <v>858</v>
      </c>
      <c r="B513" s="103" t="s">
        <v>348</v>
      </c>
      <c r="C513" s="114">
        <v>60</v>
      </c>
      <c r="D513" s="115" t="s">
        <v>863</v>
      </c>
      <c r="E513" s="116">
        <v>0.066</v>
      </c>
      <c r="F513" s="115" t="s">
        <v>725</v>
      </c>
      <c r="G513" s="122">
        <f>1.91+0.43</f>
        <v>2.34</v>
      </c>
      <c r="H513" s="118"/>
      <c r="I513" s="119"/>
      <c r="K513" s="84"/>
    </row>
    <row r="514" spans="1:11" s="16" customFormat="1" ht="10.5" customHeight="1">
      <c r="A514" s="113" t="s">
        <v>864</v>
      </c>
      <c r="B514" s="103" t="s">
        <v>348</v>
      </c>
      <c r="C514" s="114">
        <v>65</v>
      </c>
      <c r="D514" s="115" t="s">
        <v>865</v>
      </c>
      <c r="E514" s="116">
        <f>1.074-0.68</f>
        <v>0.394</v>
      </c>
      <c r="F514" s="115" t="s">
        <v>865</v>
      </c>
      <c r="G514" s="122">
        <v>0.68</v>
      </c>
      <c r="H514" s="118"/>
      <c r="I514" s="119"/>
      <c r="K514" s="84"/>
    </row>
    <row r="515" spans="1:11" s="16" customFormat="1" ht="10.5" customHeight="1">
      <c r="A515" s="113" t="s">
        <v>858</v>
      </c>
      <c r="B515" s="103" t="s">
        <v>348</v>
      </c>
      <c r="C515" s="114">
        <v>70</v>
      </c>
      <c r="D515" s="115" t="s">
        <v>459</v>
      </c>
      <c r="E515" s="116">
        <v>0.144</v>
      </c>
      <c r="F515" s="115"/>
      <c r="G515" s="117"/>
      <c r="H515" s="118"/>
      <c r="I515" s="119"/>
      <c r="K515" s="84"/>
    </row>
    <row r="516" spans="1:11" s="16" customFormat="1" ht="10.5" customHeight="1">
      <c r="A516" s="113" t="s">
        <v>858</v>
      </c>
      <c r="B516" s="103" t="s">
        <v>348</v>
      </c>
      <c r="C516" s="114" t="s">
        <v>654</v>
      </c>
      <c r="D516" s="115"/>
      <c r="E516" s="116"/>
      <c r="F516" s="115"/>
      <c r="G516" s="117"/>
      <c r="H516" s="118">
        <v>1.83</v>
      </c>
      <c r="I516" s="119"/>
      <c r="K516" s="84"/>
    </row>
    <row r="517" spans="1:11" s="16" customFormat="1" ht="10.5" customHeight="1">
      <c r="A517" s="113" t="s">
        <v>858</v>
      </c>
      <c r="B517" s="103" t="s">
        <v>348</v>
      </c>
      <c r="C517" s="114">
        <v>80</v>
      </c>
      <c r="D517" s="115"/>
      <c r="E517" s="116"/>
      <c r="F517" s="115" t="s">
        <v>459</v>
      </c>
      <c r="G517" s="122">
        <v>2.278</v>
      </c>
      <c r="H517" s="118"/>
      <c r="I517" s="119"/>
      <c r="K517" s="84"/>
    </row>
    <row r="518" spans="1:11" s="16" customFormat="1" ht="10.5" customHeight="1">
      <c r="A518" s="113" t="s">
        <v>858</v>
      </c>
      <c r="B518" s="103" t="s">
        <v>348</v>
      </c>
      <c r="C518" s="114">
        <v>85</v>
      </c>
      <c r="D518" s="115"/>
      <c r="E518" s="116"/>
      <c r="F518" s="115" t="s">
        <v>866</v>
      </c>
      <c r="G518" s="122">
        <v>0.268</v>
      </c>
      <c r="H518" s="118"/>
      <c r="I518" s="119"/>
      <c r="K518" s="84"/>
    </row>
    <row r="519" spans="1:11" s="16" customFormat="1" ht="10.5" customHeight="1">
      <c r="A519" s="113" t="s">
        <v>858</v>
      </c>
      <c r="B519" s="103" t="s">
        <v>348</v>
      </c>
      <c r="C519" s="114">
        <v>90</v>
      </c>
      <c r="D519" s="115" t="s">
        <v>867</v>
      </c>
      <c r="E519" s="116">
        <f>1.74+0.21-0.102-0.754-0.52-0.226</f>
        <v>0.34799999999999986</v>
      </c>
      <c r="F519" s="115" t="s">
        <v>442</v>
      </c>
      <c r="G519" s="122">
        <f>0.754+0.52+0.226</f>
        <v>1.5</v>
      </c>
      <c r="H519" s="118"/>
      <c r="I519" s="123">
        <v>0.2</v>
      </c>
      <c r="J519" s="16" t="s">
        <v>609</v>
      </c>
      <c r="K519" s="84"/>
    </row>
    <row r="520" spans="1:11" s="16" customFormat="1" ht="10.5" customHeight="1">
      <c r="A520" s="113" t="s">
        <v>858</v>
      </c>
      <c r="B520" s="103" t="s">
        <v>348</v>
      </c>
      <c r="C520" s="114">
        <v>120</v>
      </c>
      <c r="D520" s="115" t="s">
        <v>459</v>
      </c>
      <c r="E520" s="116">
        <f>1.548-0.278-0.94</f>
        <v>0.33000000000000007</v>
      </c>
      <c r="F520" s="115" t="s">
        <v>459</v>
      </c>
      <c r="G520" s="122">
        <f>0.278+0.94</f>
        <v>1.218</v>
      </c>
      <c r="H520" s="118"/>
      <c r="I520" s="119" t="s">
        <v>868</v>
      </c>
      <c r="K520" s="84"/>
    </row>
    <row r="521" spans="1:11" s="16" customFormat="1" ht="10.5" customHeight="1">
      <c r="A521" s="113" t="s">
        <v>859</v>
      </c>
      <c r="B521" s="103" t="s">
        <v>348</v>
      </c>
      <c r="C521" s="114">
        <v>120</v>
      </c>
      <c r="D521" s="115"/>
      <c r="E521" s="116"/>
      <c r="F521" s="115" t="s">
        <v>405</v>
      </c>
      <c r="G521" s="122">
        <f>1.45+1.85</f>
        <v>3.3</v>
      </c>
      <c r="H521" s="118"/>
      <c r="I521" s="119"/>
      <c r="K521" s="84"/>
    </row>
    <row r="522" spans="1:11" s="16" customFormat="1" ht="10.5" customHeight="1">
      <c r="A522" s="113" t="s">
        <v>869</v>
      </c>
      <c r="B522" s="103" t="s">
        <v>870</v>
      </c>
      <c r="C522" s="114">
        <v>130</v>
      </c>
      <c r="D522" s="115"/>
      <c r="E522" s="116"/>
      <c r="F522" s="115" t="s">
        <v>405</v>
      </c>
      <c r="G522" s="122">
        <f>1.31+1.418-0.47-0.48-0.95</f>
        <v>0.8280000000000001</v>
      </c>
      <c r="H522" s="118"/>
      <c r="I522" s="119"/>
      <c r="K522" s="84"/>
    </row>
    <row r="523" spans="1:11" s="16" customFormat="1" ht="10.5" customHeight="1">
      <c r="A523" s="113" t="s">
        <v>869</v>
      </c>
      <c r="B523" s="103" t="s">
        <v>870</v>
      </c>
      <c r="C523" s="114">
        <v>140</v>
      </c>
      <c r="D523" s="115" t="s">
        <v>403</v>
      </c>
      <c r="E523" s="116">
        <f>3.982-1.65-1.896</f>
        <v>0.4360000000000004</v>
      </c>
      <c r="F523" s="115" t="s">
        <v>459</v>
      </c>
      <c r="G523" s="122">
        <f>1.65+1.896</f>
        <v>3.546</v>
      </c>
      <c r="H523" s="118"/>
      <c r="I523" s="123">
        <v>0.448</v>
      </c>
      <c r="J523" s="16" t="s">
        <v>609</v>
      </c>
      <c r="K523" s="84"/>
    </row>
    <row r="524" spans="1:11" s="16" customFormat="1" ht="10.5" customHeight="1">
      <c r="A524" s="113" t="s">
        <v>858</v>
      </c>
      <c r="B524" s="103" t="s">
        <v>870</v>
      </c>
      <c r="C524" s="114">
        <v>160</v>
      </c>
      <c r="D524" s="115" t="s">
        <v>871</v>
      </c>
      <c r="E524" s="116">
        <f>0.634-0.082-0.012</f>
        <v>0.54</v>
      </c>
      <c r="F524" s="115" t="s">
        <v>442</v>
      </c>
      <c r="G524" s="122">
        <f>2.544-0.634</f>
        <v>1.9100000000000001</v>
      </c>
      <c r="H524" s="118"/>
      <c r="I524" s="119"/>
      <c r="K524" s="84"/>
    </row>
    <row r="525" spans="1:11" s="16" customFormat="1" ht="10.5" customHeight="1">
      <c r="A525" s="113" t="s">
        <v>858</v>
      </c>
      <c r="B525" s="103" t="s">
        <v>870</v>
      </c>
      <c r="C525" s="114">
        <v>210</v>
      </c>
      <c r="D525" s="115"/>
      <c r="E525" s="116"/>
      <c r="F525" s="115"/>
      <c r="G525" s="122"/>
      <c r="H525" s="118">
        <v>3.08</v>
      </c>
      <c r="I525" s="119"/>
      <c r="K525" s="84"/>
    </row>
    <row r="526" spans="1:11" s="16" customFormat="1" ht="10.5" customHeight="1">
      <c r="A526" s="113" t="s">
        <v>872</v>
      </c>
      <c r="B526" s="103" t="s">
        <v>348</v>
      </c>
      <c r="C526" s="114">
        <v>40</v>
      </c>
      <c r="D526" s="115" t="s">
        <v>873</v>
      </c>
      <c r="E526" s="116">
        <f>0.2-0.066</f>
        <v>0.134</v>
      </c>
      <c r="F526" s="115"/>
      <c r="G526" s="117"/>
      <c r="H526" s="118"/>
      <c r="I526" s="119"/>
      <c r="K526" s="84"/>
    </row>
    <row r="527" spans="1:11" s="16" customFormat="1" ht="10.5" customHeight="1">
      <c r="A527" s="113" t="s">
        <v>874</v>
      </c>
      <c r="B527" s="103" t="s">
        <v>348</v>
      </c>
      <c r="C527" s="114">
        <v>40</v>
      </c>
      <c r="D527" s="115"/>
      <c r="E527" s="116"/>
      <c r="F527" s="115" t="s">
        <v>875</v>
      </c>
      <c r="G527" s="122">
        <f>0.74-0.14</f>
        <v>0.6</v>
      </c>
      <c r="H527" s="118"/>
      <c r="I527" s="119"/>
      <c r="K527" s="84"/>
    </row>
    <row r="528" spans="1:11" s="16" customFormat="1" ht="10.5" customHeight="1">
      <c r="A528" s="113" t="s">
        <v>876</v>
      </c>
      <c r="B528" s="103" t="s">
        <v>348</v>
      </c>
      <c r="C528" s="114">
        <v>48</v>
      </c>
      <c r="D528" s="115"/>
      <c r="E528" s="116"/>
      <c r="F528" s="115" t="s">
        <v>877</v>
      </c>
      <c r="G528" s="117">
        <v>0.252</v>
      </c>
      <c r="H528" s="118"/>
      <c r="I528" s="119"/>
      <c r="K528" s="84"/>
    </row>
    <row r="529" spans="1:11" s="16" customFormat="1" ht="10.5" customHeight="1">
      <c r="A529" s="113" t="s">
        <v>872</v>
      </c>
      <c r="B529" s="103" t="s">
        <v>348</v>
      </c>
      <c r="C529" s="114">
        <v>90</v>
      </c>
      <c r="D529" s="115"/>
      <c r="E529" s="116"/>
      <c r="F529" s="115" t="s">
        <v>405</v>
      </c>
      <c r="G529" s="122">
        <f>3.28-0.12-0.004-2.12</f>
        <v>1.0359999999999996</v>
      </c>
      <c r="H529" s="118"/>
      <c r="I529" s="119"/>
      <c r="K529" s="84"/>
    </row>
    <row r="530" spans="1:11" s="16" customFormat="1" ht="10.5" customHeight="1">
      <c r="A530" s="113" t="s">
        <v>878</v>
      </c>
      <c r="B530" s="103" t="s">
        <v>370</v>
      </c>
      <c r="C530" s="114" t="s">
        <v>879</v>
      </c>
      <c r="D530" s="115"/>
      <c r="E530" s="116"/>
      <c r="F530" s="115" t="s">
        <v>754</v>
      </c>
      <c r="G530" s="117">
        <f>1.28-0.37</f>
        <v>0.91</v>
      </c>
      <c r="H530" s="118"/>
      <c r="I530" s="119"/>
      <c r="K530" s="84"/>
    </row>
    <row r="531" spans="1:11" s="16" customFormat="1" ht="10.5" customHeight="1">
      <c r="A531" s="113" t="s">
        <v>878</v>
      </c>
      <c r="B531" s="103" t="s">
        <v>370</v>
      </c>
      <c r="C531" s="114" t="s">
        <v>880</v>
      </c>
      <c r="D531" s="115"/>
      <c r="E531" s="116"/>
      <c r="F531" s="115" t="s">
        <v>881</v>
      </c>
      <c r="G531" s="117">
        <v>0.93</v>
      </c>
      <c r="H531" s="118"/>
      <c r="I531" s="119"/>
      <c r="K531" s="84"/>
    </row>
    <row r="532" spans="1:11" s="16" customFormat="1" ht="10.5" customHeight="1">
      <c r="A532" s="113" t="s">
        <v>882</v>
      </c>
      <c r="B532" s="103" t="s">
        <v>348</v>
      </c>
      <c r="C532" s="114" t="s">
        <v>883</v>
      </c>
      <c r="D532" s="115" t="s">
        <v>442</v>
      </c>
      <c r="E532" s="116">
        <v>0.52</v>
      </c>
      <c r="F532" s="115"/>
      <c r="G532" s="117"/>
      <c r="H532" s="118"/>
      <c r="I532" s="119"/>
      <c r="K532" s="84"/>
    </row>
    <row r="533" spans="1:11" s="16" customFormat="1" ht="10.5" customHeight="1">
      <c r="A533" s="113" t="s">
        <v>882</v>
      </c>
      <c r="B533" s="103" t="s">
        <v>348</v>
      </c>
      <c r="C533" s="114">
        <v>46</v>
      </c>
      <c r="D533" s="115"/>
      <c r="E533" s="116"/>
      <c r="F533" s="115" t="s">
        <v>884</v>
      </c>
      <c r="G533" s="122">
        <f>1.796+0.506-0.06</f>
        <v>2.242</v>
      </c>
      <c r="H533" s="118"/>
      <c r="I533" s="119"/>
      <c r="K533" s="84"/>
    </row>
    <row r="534" spans="1:11" s="16" customFormat="1" ht="10.5" customHeight="1">
      <c r="A534" s="113" t="s">
        <v>882</v>
      </c>
      <c r="B534" s="103" t="s">
        <v>348</v>
      </c>
      <c r="C534" s="114">
        <v>50</v>
      </c>
      <c r="D534" s="115" t="s">
        <v>885</v>
      </c>
      <c r="E534" s="116">
        <v>3.898</v>
      </c>
      <c r="F534" s="115"/>
      <c r="G534" s="122"/>
      <c r="H534" s="118"/>
      <c r="I534" s="119"/>
      <c r="K534" s="84"/>
    </row>
    <row r="535" spans="1:11" s="16" customFormat="1" ht="10.5" customHeight="1">
      <c r="A535" s="113" t="s">
        <v>882</v>
      </c>
      <c r="B535" s="103" t="s">
        <v>348</v>
      </c>
      <c r="C535" s="114">
        <v>60</v>
      </c>
      <c r="D535" s="115"/>
      <c r="E535" s="116"/>
      <c r="F535" s="115"/>
      <c r="G535" s="122"/>
      <c r="H535" s="118">
        <v>3.36</v>
      </c>
      <c r="I535" s="119"/>
      <c r="K535" s="84"/>
    </row>
    <row r="536" spans="1:11" s="16" customFormat="1" ht="10.5" customHeight="1">
      <c r="A536" s="113" t="s">
        <v>882</v>
      </c>
      <c r="B536" s="103" t="s">
        <v>348</v>
      </c>
      <c r="C536" s="114">
        <v>62</v>
      </c>
      <c r="D536" s="115"/>
      <c r="E536" s="116"/>
      <c r="F536" s="115" t="s">
        <v>720</v>
      </c>
      <c r="G536" s="130">
        <v>0.458</v>
      </c>
      <c r="H536" s="118"/>
      <c r="I536" s="119"/>
      <c r="K536" s="84"/>
    </row>
    <row r="537" spans="1:11" s="16" customFormat="1" ht="10.5" customHeight="1">
      <c r="A537" s="113" t="s">
        <v>882</v>
      </c>
      <c r="B537" s="103" t="s">
        <v>348</v>
      </c>
      <c r="C537" s="114">
        <v>75</v>
      </c>
      <c r="D537" s="115"/>
      <c r="E537" s="116"/>
      <c r="F537" s="115" t="s">
        <v>886</v>
      </c>
      <c r="G537" s="122">
        <v>0.58</v>
      </c>
      <c r="H537" s="118"/>
      <c r="I537" s="119">
        <v>0.28</v>
      </c>
      <c r="K537" s="84"/>
    </row>
    <row r="538" spans="1:11" s="16" customFormat="1" ht="10.5" customHeight="1">
      <c r="A538" s="113" t="s">
        <v>882</v>
      </c>
      <c r="B538" s="103" t="s">
        <v>348</v>
      </c>
      <c r="C538" s="114">
        <v>80</v>
      </c>
      <c r="D538" s="115"/>
      <c r="E538" s="116">
        <f>3.36-1.13</f>
        <v>2.23</v>
      </c>
      <c r="F538" s="115"/>
      <c r="G538" s="122">
        <v>1.13</v>
      </c>
      <c r="H538" s="118"/>
      <c r="I538" s="119">
        <v>0.13</v>
      </c>
      <c r="K538" s="84"/>
    </row>
    <row r="539" spans="1:11" s="16" customFormat="1" ht="10.5" customHeight="1">
      <c r="A539" s="113" t="s">
        <v>882</v>
      </c>
      <c r="B539" s="103" t="s">
        <v>348</v>
      </c>
      <c r="C539" s="114">
        <v>90</v>
      </c>
      <c r="D539" s="115"/>
      <c r="E539" s="116"/>
      <c r="F539" s="115" t="s">
        <v>887</v>
      </c>
      <c r="G539" s="122">
        <f>2.82+3.85</f>
        <v>6.67</v>
      </c>
      <c r="H539" s="118"/>
      <c r="I539" s="119"/>
      <c r="K539" s="84"/>
    </row>
    <row r="540" spans="1:11" s="16" customFormat="1" ht="10.5" customHeight="1">
      <c r="A540" s="113" t="s">
        <v>882</v>
      </c>
      <c r="B540" s="103" t="s">
        <v>348</v>
      </c>
      <c r="C540" s="114">
        <v>100</v>
      </c>
      <c r="D540" s="115" t="s">
        <v>405</v>
      </c>
      <c r="E540" s="116">
        <f>10.37-3.986-0.276</f>
        <v>6.107999999999999</v>
      </c>
      <c r="F540" s="115"/>
      <c r="G540" s="117"/>
      <c r="H540" s="118"/>
      <c r="I540" s="119"/>
      <c r="K540" s="84"/>
    </row>
    <row r="541" spans="1:11" s="16" customFormat="1" ht="10.5" customHeight="1">
      <c r="A541" s="113" t="s">
        <v>882</v>
      </c>
      <c r="B541" s="103" t="s">
        <v>348</v>
      </c>
      <c r="C541" s="114">
        <v>110</v>
      </c>
      <c r="D541" s="115"/>
      <c r="E541" s="116">
        <f>15.524-8.024-3.56</f>
        <v>3.94</v>
      </c>
      <c r="F541" s="115"/>
      <c r="G541" s="117"/>
      <c r="H541" s="118"/>
      <c r="I541" s="119"/>
      <c r="K541" s="84"/>
    </row>
    <row r="542" spans="1:11" s="16" customFormat="1" ht="10.5" customHeight="1">
      <c r="A542" s="113" t="s">
        <v>882</v>
      </c>
      <c r="B542" s="103" t="s">
        <v>348</v>
      </c>
      <c r="C542" s="114">
        <v>140</v>
      </c>
      <c r="D542" s="115" t="s">
        <v>888</v>
      </c>
      <c r="E542" s="116">
        <f>0.8-0.4</f>
        <v>0.4</v>
      </c>
      <c r="F542" s="115"/>
      <c r="G542" s="117"/>
      <c r="H542" s="118"/>
      <c r="I542" s="119"/>
      <c r="K542" s="84"/>
    </row>
    <row r="543" spans="1:11" s="16" customFormat="1" ht="10.5" customHeight="1">
      <c r="A543" s="113" t="s">
        <v>882</v>
      </c>
      <c r="B543" s="103" t="s">
        <v>348</v>
      </c>
      <c r="C543" s="114">
        <v>150</v>
      </c>
      <c r="D543" s="115"/>
      <c r="E543" s="116"/>
      <c r="F543" s="115"/>
      <c r="G543" s="117"/>
      <c r="H543" s="118">
        <v>2.41</v>
      </c>
      <c r="I543" s="119"/>
      <c r="K543" s="84"/>
    </row>
    <row r="544" spans="1:11" s="16" customFormat="1" ht="10.5" customHeight="1">
      <c r="A544" s="113" t="s">
        <v>882</v>
      </c>
      <c r="B544" s="103" t="s">
        <v>348</v>
      </c>
      <c r="C544" s="114" t="s">
        <v>490</v>
      </c>
      <c r="D544" s="115" t="s">
        <v>889</v>
      </c>
      <c r="E544" s="116">
        <f>0.336+0.556-0.126</f>
        <v>0.7660000000000001</v>
      </c>
      <c r="F544" s="115" t="s">
        <v>890</v>
      </c>
      <c r="G544" s="122">
        <f>1.83-0.93</f>
        <v>0.9</v>
      </c>
      <c r="H544" s="118"/>
      <c r="I544" s="119"/>
      <c r="K544" s="84"/>
    </row>
    <row r="545" spans="1:11" s="16" customFormat="1" ht="10.5" customHeight="1">
      <c r="A545" s="113" t="s">
        <v>882</v>
      </c>
      <c r="B545" s="103" t="s">
        <v>348</v>
      </c>
      <c r="C545" s="114">
        <v>190</v>
      </c>
      <c r="D545" s="115"/>
      <c r="E545" s="116"/>
      <c r="F545" s="115"/>
      <c r="G545" s="117"/>
      <c r="H545" s="118">
        <v>1.35</v>
      </c>
      <c r="I545" s="119"/>
      <c r="K545" s="84"/>
    </row>
    <row r="546" spans="1:11" s="16" customFormat="1" ht="10.5" customHeight="1">
      <c r="A546" s="113" t="s">
        <v>882</v>
      </c>
      <c r="B546" s="103" t="s">
        <v>348</v>
      </c>
      <c r="C546" s="114" t="s">
        <v>891</v>
      </c>
      <c r="D546" s="115" t="s">
        <v>892</v>
      </c>
      <c r="E546" s="116">
        <f>0.91-0.252-0.15-0.06</f>
        <v>0.448</v>
      </c>
      <c r="F546" s="115"/>
      <c r="G546" s="117"/>
      <c r="H546" s="118"/>
      <c r="I546" s="119"/>
      <c r="K546" s="84"/>
    </row>
    <row r="547" spans="1:11" s="16" customFormat="1" ht="10.5" customHeight="1">
      <c r="A547" s="113" t="s">
        <v>882</v>
      </c>
      <c r="B547" s="103" t="s">
        <v>348</v>
      </c>
      <c r="C547" s="114">
        <v>200</v>
      </c>
      <c r="D547" s="115"/>
      <c r="E547" s="116"/>
      <c r="F547" s="115"/>
      <c r="G547" s="117"/>
      <c r="H547" s="118">
        <v>1.63</v>
      </c>
      <c r="I547" s="119"/>
      <c r="K547" s="84"/>
    </row>
    <row r="548" spans="1:11" s="16" customFormat="1" ht="10.5" customHeight="1">
      <c r="A548" s="113" t="s">
        <v>882</v>
      </c>
      <c r="B548" s="103" t="s">
        <v>348</v>
      </c>
      <c r="C548" s="114">
        <v>270</v>
      </c>
      <c r="D548" s="115" t="s">
        <v>893</v>
      </c>
      <c r="E548" s="124">
        <v>1.63</v>
      </c>
      <c r="F548" s="115"/>
      <c r="G548" s="117"/>
      <c r="H548" s="118"/>
      <c r="I548" s="119"/>
      <c r="K548" s="84"/>
    </row>
    <row r="549" spans="1:11" s="16" customFormat="1" ht="10.5" customHeight="1">
      <c r="A549" s="113" t="s">
        <v>882</v>
      </c>
      <c r="B549" s="103" t="s">
        <v>348</v>
      </c>
      <c r="C549" s="114">
        <v>280</v>
      </c>
      <c r="D549" s="115"/>
      <c r="E549" s="116">
        <v>4.72</v>
      </c>
      <c r="F549" s="115"/>
      <c r="G549" s="117"/>
      <c r="H549" s="118"/>
      <c r="I549" s="119"/>
      <c r="K549" s="84"/>
    </row>
    <row r="550" spans="1:11" s="16" customFormat="1" ht="10.5" customHeight="1">
      <c r="A550" s="113" t="s">
        <v>894</v>
      </c>
      <c r="B550" s="103" t="s">
        <v>348</v>
      </c>
      <c r="C550" s="114" t="s">
        <v>895</v>
      </c>
      <c r="D550" s="115"/>
      <c r="E550" s="116"/>
      <c r="F550" s="115"/>
      <c r="G550" s="117"/>
      <c r="H550" s="118">
        <v>2.91</v>
      </c>
      <c r="I550" s="119"/>
      <c r="K550" s="84"/>
    </row>
    <row r="551" spans="1:11" s="16" customFormat="1" ht="10.5" customHeight="1">
      <c r="A551" s="113" t="s">
        <v>896</v>
      </c>
      <c r="B551" s="103" t="s">
        <v>348</v>
      </c>
      <c r="C551" s="114">
        <v>25</v>
      </c>
      <c r="D551" s="115"/>
      <c r="E551" s="116"/>
      <c r="F551" s="115" t="s">
        <v>897</v>
      </c>
      <c r="G551" s="117">
        <f>0.85-0.1-0.205-0.031-0.08</f>
        <v>0.434</v>
      </c>
      <c r="H551" s="118"/>
      <c r="I551" s="119">
        <v>0.2</v>
      </c>
      <c r="K551" s="84"/>
    </row>
    <row r="552" spans="1:11" s="16" customFormat="1" ht="10.5" customHeight="1">
      <c r="A552" s="113" t="s">
        <v>898</v>
      </c>
      <c r="B552" s="103" t="s">
        <v>348</v>
      </c>
      <c r="C552" s="114">
        <v>30</v>
      </c>
      <c r="D552" s="115"/>
      <c r="E552" s="116"/>
      <c r="F552" s="115" t="s">
        <v>899</v>
      </c>
      <c r="G552" s="117">
        <f>1.161-0.045</f>
        <v>1.116</v>
      </c>
      <c r="H552" s="118"/>
      <c r="I552" s="119"/>
      <c r="K552" s="84"/>
    </row>
    <row r="553" spans="1:11" s="16" customFormat="1" ht="10.5" customHeight="1">
      <c r="A553" s="113" t="s">
        <v>894</v>
      </c>
      <c r="B553" s="103" t="s">
        <v>348</v>
      </c>
      <c r="C553" s="114">
        <v>32</v>
      </c>
      <c r="D553" s="115"/>
      <c r="E553" s="116"/>
      <c r="F553" s="115"/>
      <c r="G553" s="117"/>
      <c r="H553" s="118">
        <v>2.58</v>
      </c>
      <c r="I553" s="119"/>
      <c r="K553" s="84"/>
    </row>
    <row r="554" spans="1:11" s="16" customFormat="1" ht="10.5" customHeight="1">
      <c r="A554" s="113" t="s">
        <v>896</v>
      </c>
      <c r="B554" s="103" t="s">
        <v>348</v>
      </c>
      <c r="C554" s="114">
        <v>36</v>
      </c>
      <c r="D554" s="115"/>
      <c r="E554" s="116"/>
      <c r="F554" s="115" t="s">
        <v>873</v>
      </c>
      <c r="G554" s="122">
        <f>0.444-0.112-0.21</f>
        <v>0.12200000000000003</v>
      </c>
      <c r="H554" s="118">
        <v>2.41</v>
      </c>
      <c r="I554" s="119"/>
      <c r="K554" s="84"/>
    </row>
    <row r="555" spans="1:11" s="16" customFormat="1" ht="10.5" customHeight="1">
      <c r="A555" s="113" t="s">
        <v>896</v>
      </c>
      <c r="B555" s="103" t="s">
        <v>348</v>
      </c>
      <c r="C555" s="114">
        <v>38</v>
      </c>
      <c r="D555" s="115"/>
      <c r="E555" s="116"/>
      <c r="F555" s="115" t="s">
        <v>900</v>
      </c>
      <c r="G555" s="122">
        <v>0.816</v>
      </c>
      <c r="H555" s="118"/>
      <c r="I555" s="119"/>
      <c r="K555" s="84"/>
    </row>
    <row r="556" spans="1:11" s="16" customFormat="1" ht="10.5" customHeight="1">
      <c r="A556" s="113" t="s">
        <v>896</v>
      </c>
      <c r="B556" s="103" t="s">
        <v>348</v>
      </c>
      <c r="C556" s="114">
        <v>40</v>
      </c>
      <c r="D556" s="115"/>
      <c r="E556" s="116"/>
      <c r="F556" s="115" t="s">
        <v>442</v>
      </c>
      <c r="G556" s="117">
        <v>0.59</v>
      </c>
      <c r="H556" s="118"/>
      <c r="I556" s="119"/>
      <c r="K556" s="84"/>
    </row>
    <row r="557" spans="1:11" s="16" customFormat="1" ht="10.5" customHeight="1">
      <c r="A557" s="113" t="s">
        <v>896</v>
      </c>
      <c r="B557" s="103" t="s">
        <v>348</v>
      </c>
      <c r="C557" s="114">
        <v>40</v>
      </c>
      <c r="D557" s="115"/>
      <c r="E557" s="116"/>
      <c r="F557" s="115" t="s">
        <v>901</v>
      </c>
      <c r="G557" s="126">
        <f>1.762-0.404-0.147</f>
        <v>1.211</v>
      </c>
      <c r="H557" s="118"/>
      <c r="I557" s="119"/>
      <c r="K557" s="84"/>
    </row>
    <row r="558" spans="1:11" s="16" customFormat="1" ht="10.5" customHeight="1">
      <c r="A558" s="113" t="s">
        <v>896</v>
      </c>
      <c r="B558" s="103" t="s">
        <v>348</v>
      </c>
      <c r="C558" s="114">
        <v>46</v>
      </c>
      <c r="D558" s="115"/>
      <c r="E558" s="116"/>
      <c r="F558" s="115" t="s">
        <v>902</v>
      </c>
      <c r="G558" s="122">
        <f>0.786-0.06-0.185-0.27</f>
        <v>0.2709999999999999</v>
      </c>
      <c r="H558" s="118"/>
      <c r="I558" s="119"/>
      <c r="K558" s="84"/>
    </row>
    <row r="559" spans="1:11" s="16" customFormat="1" ht="10.5" customHeight="1">
      <c r="A559" s="113" t="s">
        <v>898</v>
      </c>
      <c r="B559" s="103" t="s">
        <v>348</v>
      </c>
      <c r="C559" s="114">
        <v>50</v>
      </c>
      <c r="D559" s="115"/>
      <c r="E559" s="116"/>
      <c r="F559" s="115" t="s">
        <v>903</v>
      </c>
      <c r="G559" s="117">
        <f>0.718-0.056</f>
        <v>0.6619999999999999</v>
      </c>
      <c r="H559" s="118"/>
      <c r="I559" s="119"/>
      <c r="K559" s="84"/>
    </row>
    <row r="560" spans="1:11" s="16" customFormat="1" ht="10.5" customHeight="1">
      <c r="A560" s="113" t="s">
        <v>896</v>
      </c>
      <c r="B560" s="103" t="s">
        <v>348</v>
      </c>
      <c r="C560" s="114">
        <v>50</v>
      </c>
      <c r="D560" s="115" t="s">
        <v>904</v>
      </c>
      <c r="E560" s="116">
        <f>2.042-0.04-0.12-0.192+0.766-0.126</f>
        <v>2.3299999999999996</v>
      </c>
      <c r="F560" s="115"/>
      <c r="G560" s="117"/>
      <c r="H560" s="118"/>
      <c r="I560" s="119">
        <v>0.21</v>
      </c>
      <c r="K560" s="84"/>
    </row>
    <row r="561" spans="1:11" s="16" customFormat="1" ht="10.5" customHeight="1">
      <c r="A561" s="113" t="s">
        <v>896</v>
      </c>
      <c r="B561" s="103" t="s">
        <v>348</v>
      </c>
      <c r="C561" s="114">
        <v>56</v>
      </c>
      <c r="D561" s="115"/>
      <c r="E561" s="116"/>
      <c r="F561" s="115" t="s">
        <v>765</v>
      </c>
      <c r="G561" s="122">
        <f>2.156+2.034-0.061-0.232</f>
        <v>3.8969999999999994</v>
      </c>
      <c r="H561" s="118"/>
      <c r="I561" s="119"/>
      <c r="K561" s="84"/>
    </row>
    <row r="562" spans="1:11" s="16" customFormat="1" ht="10.5" customHeight="1">
      <c r="A562" s="113" t="s">
        <v>896</v>
      </c>
      <c r="B562" s="103" t="s">
        <v>348</v>
      </c>
      <c r="C562" s="114">
        <v>58</v>
      </c>
      <c r="D562" s="115"/>
      <c r="E562" s="116"/>
      <c r="F562" s="115" t="s">
        <v>405</v>
      </c>
      <c r="G562" s="122">
        <v>1.49</v>
      </c>
      <c r="H562" s="118"/>
      <c r="I562" s="119"/>
      <c r="K562" s="84"/>
    </row>
    <row r="563" spans="1:11" s="16" customFormat="1" ht="10.5" customHeight="1">
      <c r="A563" s="113" t="s">
        <v>896</v>
      </c>
      <c r="B563" s="103" t="s">
        <v>348</v>
      </c>
      <c r="C563" s="114">
        <v>60</v>
      </c>
      <c r="D563" s="115"/>
      <c r="E563" s="124">
        <v>2.23</v>
      </c>
      <c r="F563" s="115"/>
      <c r="G563" s="122"/>
      <c r="H563" s="118"/>
      <c r="I563" s="119"/>
      <c r="K563" s="84"/>
    </row>
    <row r="564" spans="1:11" s="16" customFormat="1" ht="10.5" customHeight="1">
      <c r="A564" s="113" t="s">
        <v>896</v>
      </c>
      <c r="B564" s="103" t="s">
        <v>348</v>
      </c>
      <c r="C564" s="114">
        <v>70</v>
      </c>
      <c r="D564" s="115" t="s">
        <v>905</v>
      </c>
      <c r="E564" s="116">
        <f>1.388+3.29+3.53-0.046-3.5-3.3-0.734-0.376</f>
        <v>0.252000000000001</v>
      </c>
      <c r="F564" s="115" t="s">
        <v>905</v>
      </c>
      <c r="G564" s="122">
        <f>3.5+3.3+0.734-0.061-0.47</f>
        <v>7.003</v>
      </c>
      <c r="H564" s="118"/>
      <c r="I564" s="119">
        <v>5.5</v>
      </c>
      <c r="K564" s="84"/>
    </row>
    <row r="565" spans="1:11" s="16" customFormat="1" ht="10.5" customHeight="1">
      <c r="A565" s="113" t="s">
        <v>906</v>
      </c>
      <c r="B565" s="103" t="s">
        <v>348</v>
      </c>
      <c r="C565" s="114">
        <v>70</v>
      </c>
      <c r="D565" s="115"/>
      <c r="E565" s="116"/>
      <c r="F565" s="115" t="s">
        <v>731</v>
      </c>
      <c r="G565" s="122">
        <v>0.364</v>
      </c>
      <c r="H565" s="118"/>
      <c r="I565" s="119"/>
      <c r="K565" s="84"/>
    </row>
    <row r="566" spans="1:11" s="16" customFormat="1" ht="10.5" customHeight="1">
      <c r="A566" s="113" t="s">
        <v>896</v>
      </c>
      <c r="B566" s="103" t="s">
        <v>348</v>
      </c>
      <c r="C566" s="114">
        <v>80</v>
      </c>
      <c r="D566" s="115" t="s">
        <v>907</v>
      </c>
      <c r="E566" s="116">
        <f>2.146-0.512-0.74-0.032-0.34</f>
        <v>0.5219999999999998</v>
      </c>
      <c r="F566" s="115"/>
      <c r="G566" s="122"/>
      <c r="H566" s="118"/>
      <c r="I566" s="119"/>
      <c r="K566" s="84"/>
    </row>
    <row r="567" spans="1:11" s="16" customFormat="1" ht="10.5" customHeight="1">
      <c r="A567" s="113" t="s">
        <v>908</v>
      </c>
      <c r="B567" s="103" t="s">
        <v>348</v>
      </c>
      <c r="C567" s="114">
        <v>95</v>
      </c>
      <c r="D567" s="115" t="s">
        <v>405</v>
      </c>
      <c r="E567" s="116">
        <f>0.98-0.056-0.744</f>
        <v>0.17999999999999994</v>
      </c>
      <c r="F567" s="115" t="s">
        <v>405</v>
      </c>
      <c r="G567" s="122">
        <f>0.744-0.245-0.248</f>
        <v>0.251</v>
      </c>
      <c r="H567" s="118"/>
      <c r="I567" s="119"/>
      <c r="K567" s="84"/>
    </row>
    <row r="568" spans="1:11" s="16" customFormat="1" ht="10.5" customHeight="1">
      <c r="A568" s="113" t="s">
        <v>896</v>
      </c>
      <c r="B568" s="103" t="s">
        <v>348</v>
      </c>
      <c r="C568" s="114">
        <v>100</v>
      </c>
      <c r="D568" s="115"/>
      <c r="E568" s="116">
        <f>6.53+0.218-0.218-1.944-3.38-0.91-0.156</f>
        <v>0.14000000000000037</v>
      </c>
      <c r="F568" s="115" t="s">
        <v>909</v>
      </c>
      <c r="G568" s="122">
        <f>0.218+1.944+3.38+0.91-0.035</f>
        <v>6.417</v>
      </c>
      <c r="H568" s="118"/>
      <c r="I568" s="123"/>
      <c r="K568" s="84"/>
    </row>
    <row r="569" spans="1:11" s="16" customFormat="1" ht="10.5" customHeight="1">
      <c r="A569" s="113" t="s">
        <v>896</v>
      </c>
      <c r="B569" s="103" t="s">
        <v>348</v>
      </c>
      <c r="C569" s="114">
        <v>115</v>
      </c>
      <c r="D569" s="115" t="s">
        <v>910</v>
      </c>
      <c r="E569" s="116">
        <f>0.064+0.342</f>
        <v>0.406</v>
      </c>
      <c r="F569" s="115"/>
      <c r="G569" s="126"/>
      <c r="H569" s="118"/>
      <c r="I569" s="123">
        <v>0.062</v>
      </c>
      <c r="J569" s="16" t="s">
        <v>911</v>
      </c>
      <c r="K569" s="84"/>
    </row>
    <row r="570" spans="1:11" s="16" customFormat="1" ht="10.5" customHeight="1">
      <c r="A570" s="113" t="s">
        <v>896</v>
      </c>
      <c r="B570" s="103" t="s">
        <v>348</v>
      </c>
      <c r="C570" s="114">
        <v>120</v>
      </c>
      <c r="D570" s="115"/>
      <c r="E570" s="116"/>
      <c r="F570" s="115" t="s">
        <v>912</v>
      </c>
      <c r="G570" s="122">
        <f>3.85+4.048+0.334+0.436-1.54</f>
        <v>7.127999999999999</v>
      </c>
      <c r="H570" s="118"/>
      <c r="I570" s="119"/>
      <c r="K570" s="84"/>
    </row>
    <row r="571" spans="1:11" s="16" customFormat="1" ht="10.5" customHeight="1">
      <c r="A571" s="113" t="s">
        <v>896</v>
      </c>
      <c r="B571" s="103" t="s">
        <v>348</v>
      </c>
      <c r="C571" s="114">
        <v>125</v>
      </c>
      <c r="D571" s="115"/>
      <c r="E571" s="116"/>
      <c r="F571" s="115" t="s">
        <v>687</v>
      </c>
      <c r="G571" s="126">
        <f>0.3-0.05</f>
        <v>0.25</v>
      </c>
      <c r="H571" s="118"/>
      <c r="I571" s="119"/>
      <c r="K571" s="84"/>
    </row>
    <row r="572" spans="1:11" s="16" customFormat="1" ht="10.5" customHeight="1">
      <c r="A572" s="113" t="s">
        <v>896</v>
      </c>
      <c r="B572" s="103" t="s">
        <v>348</v>
      </c>
      <c r="C572" s="114">
        <v>150</v>
      </c>
      <c r="D572" s="115"/>
      <c r="E572" s="116"/>
      <c r="F572" s="115" t="s">
        <v>913</v>
      </c>
      <c r="G572" s="117">
        <f>1.69-1.181</f>
        <v>0.5089999999999999</v>
      </c>
      <c r="H572" s="118"/>
      <c r="I572" s="119">
        <f>0.334</f>
        <v>0.334</v>
      </c>
      <c r="K572" s="84"/>
    </row>
    <row r="573" spans="1:11" s="16" customFormat="1" ht="10.5" customHeight="1">
      <c r="A573" s="113" t="s">
        <v>896</v>
      </c>
      <c r="B573" s="103" t="s">
        <v>348</v>
      </c>
      <c r="C573" s="114">
        <v>170</v>
      </c>
      <c r="D573" s="115" t="s">
        <v>914</v>
      </c>
      <c r="E573" s="116">
        <f>10.076-3.088-3.834-2.41-0.22-0.188</f>
        <v>0.33600000000000024</v>
      </c>
      <c r="F573" s="115"/>
      <c r="G573" s="117"/>
      <c r="H573" s="118"/>
      <c r="I573" s="119"/>
      <c r="K573" s="84"/>
    </row>
    <row r="574" spans="1:11" s="16" customFormat="1" ht="10.5" customHeight="1">
      <c r="A574" s="113" t="s">
        <v>896</v>
      </c>
      <c r="B574" s="103" t="s">
        <v>348</v>
      </c>
      <c r="C574" s="114">
        <v>180</v>
      </c>
      <c r="D574" s="115" t="s">
        <v>915</v>
      </c>
      <c r="E574" s="116">
        <f>0.57+0.582-0.57+0.544-0.544-0.21</f>
        <v>0.3719999999999999</v>
      </c>
      <c r="F574" s="115"/>
      <c r="G574" s="117"/>
      <c r="H574" s="118">
        <v>3</v>
      </c>
      <c r="I574" s="119"/>
      <c r="K574" s="84"/>
    </row>
    <row r="575" spans="1:11" s="16" customFormat="1" ht="10.5" customHeight="1">
      <c r="A575" s="113" t="s">
        <v>896</v>
      </c>
      <c r="B575" s="103" t="s">
        <v>348</v>
      </c>
      <c r="C575" s="114">
        <v>200</v>
      </c>
      <c r="D575" s="115"/>
      <c r="E575" s="116"/>
      <c r="F575" s="115"/>
      <c r="G575" s="117"/>
      <c r="H575" s="125">
        <v>3.94</v>
      </c>
      <c r="I575" s="119"/>
      <c r="K575" s="85">
        <v>40626</v>
      </c>
    </row>
    <row r="576" spans="1:11" s="16" customFormat="1" ht="10.5" customHeight="1">
      <c r="A576" s="113" t="s">
        <v>896</v>
      </c>
      <c r="B576" s="103" t="s">
        <v>370</v>
      </c>
      <c r="C576" s="114" t="s">
        <v>439</v>
      </c>
      <c r="D576" s="115" t="s">
        <v>916</v>
      </c>
      <c r="E576" s="116">
        <v>1.154</v>
      </c>
      <c r="F576" s="115"/>
      <c r="G576" s="117"/>
      <c r="H576" s="118"/>
      <c r="I576" s="119"/>
      <c r="K576" s="84"/>
    </row>
    <row r="577" spans="1:11" s="16" customFormat="1" ht="10.5" customHeight="1">
      <c r="A577" s="113" t="s">
        <v>917</v>
      </c>
      <c r="B577" s="103" t="s">
        <v>348</v>
      </c>
      <c r="C577" s="114">
        <v>15</v>
      </c>
      <c r="D577" s="115" t="s">
        <v>447</v>
      </c>
      <c r="E577" s="116">
        <f>0.604-0.102-0.03-0.052-0.03-0.102-0.03-0.032-0.03</f>
        <v>0.196</v>
      </c>
      <c r="F577" s="115"/>
      <c r="G577" s="117"/>
      <c r="H577" s="118"/>
      <c r="I577" s="123"/>
      <c r="K577" s="84"/>
    </row>
    <row r="578" spans="1:11" s="16" customFormat="1" ht="10.5" customHeight="1">
      <c r="A578" s="113" t="s">
        <v>917</v>
      </c>
      <c r="B578" s="103" t="s">
        <v>348</v>
      </c>
      <c r="C578" s="114">
        <v>40</v>
      </c>
      <c r="D578" s="115" t="s">
        <v>918</v>
      </c>
      <c r="E578" s="116">
        <f>2.816+0.03-2.2-0.31+1.33-0.158+1.73-0.352-0.144-0.708-0.448-0.158-0.1-0.15-0.086-0.3-0.042-0.318-0.054-0.06</f>
        <v>0.3179999999999998</v>
      </c>
      <c r="F578" s="115"/>
      <c r="G578" s="117"/>
      <c r="H578" s="118"/>
      <c r="I578" s="123"/>
      <c r="K578" s="84"/>
    </row>
    <row r="579" spans="1:11" s="16" customFormat="1" ht="10.5" customHeight="1">
      <c r="A579" s="113" t="s">
        <v>917</v>
      </c>
      <c r="B579" s="103" t="s">
        <v>348</v>
      </c>
      <c r="C579" s="114">
        <v>50</v>
      </c>
      <c r="D579" s="115" t="s">
        <v>588</v>
      </c>
      <c r="E579" s="116">
        <f>3.56-0.076-0.374-0.738-0.222</f>
        <v>2.15</v>
      </c>
      <c r="F579" s="115"/>
      <c r="G579" s="117"/>
      <c r="H579" s="118"/>
      <c r="I579" s="119"/>
      <c r="K579" s="84"/>
    </row>
    <row r="580" spans="1:11" s="16" customFormat="1" ht="10.5" customHeight="1">
      <c r="A580" s="113" t="s">
        <v>917</v>
      </c>
      <c r="B580" s="103" t="s">
        <v>348</v>
      </c>
      <c r="C580" s="114">
        <v>62</v>
      </c>
      <c r="D580" s="115"/>
      <c r="E580" s="116"/>
      <c r="F580" s="115" t="s">
        <v>919</v>
      </c>
      <c r="G580" s="117">
        <v>0.24</v>
      </c>
      <c r="H580" s="118"/>
      <c r="I580" s="119"/>
      <c r="K580" s="84"/>
    </row>
    <row r="581" spans="1:11" s="16" customFormat="1" ht="10.5" customHeight="1">
      <c r="A581" s="113" t="s">
        <v>917</v>
      </c>
      <c r="B581" s="103" t="s">
        <v>348</v>
      </c>
      <c r="C581" s="114">
        <v>70</v>
      </c>
      <c r="D581" s="115" t="s">
        <v>588</v>
      </c>
      <c r="E581" s="116">
        <f>2.3-0.264-0.552-0.16</f>
        <v>1.3239999999999996</v>
      </c>
      <c r="F581" s="115"/>
      <c r="G581" s="117"/>
      <c r="H581" s="118"/>
      <c r="I581" s="119"/>
      <c r="K581" s="84"/>
    </row>
    <row r="582" spans="1:11" s="16" customFormat="1" ht="10.5" customHeight="1">
      <c r="A582" s="113" t="s">
        <v>917</v>
      </c>
      <c r="B582" s="103" t="s">
        <v>348</v>
      </c>
      <c r="C582" s="114">
        <v>80</v>
      </c>
      <c r="D582" s="115"/>
      <c r="E582" s="116">
        <f>3.538-0.18-0.424-1.196</f>
        <v>1.7379999999999998</v>
      </c>
      <c r="F582" s="115"/>
      <c r="G582" s="117"/>
      <c r="H582" s="118"/>
      <c r="I582" s="119"/>
      <c r="K582" s="84"/>
    </row>
    <row r="583" spans="1:11" s="16" customFormat="1" ht="10.5" customHeight="1">
      <c r="A583" s="113" t="s">
        <v>917</v>
      </c>
      <c r="B583" s="103" t="s">
        <v>348</v>
      </c>
      <c r="C583" s="114">
        <v>170</v>
      </c>
      <c r="D583" s="115" t="s">
        <v>920</v>
      </c>
      <c r="E583" s="116">
        <f>3.434-0.244-0.242</f>
        <v>2.9480000000000004</v>
      </c>
      <c r="F583" s="115"/>
      <c r="G583" s="117"/>
      <c r="H583" s="118"/>
      <c r="I583" s="119"/>
      <c r="K583" s="84"/>
    </row>
    <row r="584" spans="1:11" s="16" customFormat="1" ht="10.5" customHeight="1">
      <c r="A584" s="113" t="s">
        <v>917</v>
      </c>
      <c r="B584" s="103" t="s">
        <v>348</v>
      </c>
      <c r="C584" s="114">
        <v>180</v>
      </c>
      <c r="D584" s="115" t="s">
        <v>921</v>
      </c>
      <c r="E584" s="116">
        <f>2.206-0.162</f>
        <v>2.044</v>
      </c>
      <c r="F584" s="115" t="s">
        <v>442</v>
      </c>
      <c r="G584" s="117">
        <v>38.798</v>
      </c>
      <c r="H584" s="118"/>
      <c r="I584" s="123"/>
      <c r="K584" s="84"/>
    </row>
    <row r="585" spans="1:11" s="16" customFormat="1" ht="10.5" customHeight="1">
      <c r="A585" s="113" t="s">
        <v>917</v>
      </c>
      <c r="B585" s="103" t="s">
        <v>348</v>
      </c>
      <c r="C585" s="114">
        <v>200</v>
      </c>
      <c r="D585" s="115" t="s">
        <v>922</v>
      </c>
      <c r="E585" s="116">
        <f>0.016+0.67-0.094</f>
        <v>0.5920000000000001</v>
      </c>
      <c r="F585" s="115"/>
      <c r="G585" s="117"/>
      <c r="H585" s="118"/>
      <c r="I585" s="119"/>
      <c r="K585" s="84"/>
    </row>
    <row r="586" spans="1:11" s="16" customFormat="1" ht="10.5" customHeight="1">
      <c r="A586" s="113" t="s">
        <v>917</v>
      </c>
      <c r="B586" s="103" t="s">
        <v>348</v>
      </c>
      <c r="C586" s="114">
        <v>240</v>
      </c>
      <c r="D586" s="115" t="s">
        <v>923</v>
      </c>
      <c r="E586" s="116">
        <v>1.85</v>
      </c>
      <c r="F586" s="115"/>
      <c r="G586" s="117"/>
      <c r="H586" s="118"/>
      <c r="I586" s="119"/>
      <c r="K586" s="84"/>
    </row>
    <row r="587" spans="1:11" s="16" customFormat="1" ht="10.5" customHeight="1">
      <c r="A587" s="113" t="s">
        <v>917</v>
      </c>
      <c r="B587" s="103" t="s">
        <v>348</v>
      </c>
      <c r="C587" s="114">
        <v>260</v>
      </c>
      <c r="D587" s="115"/>
      <c r="E587" s="124">
        <f>2.54-0.43</f>
        <v>2.11</v>
      </c>
      <c r="F587" s="115"/>
      <c r="G587" s="117"/>
      <c r="H587" s="118"/>
      <c r="I587" s="123" t="s">
        <v>398</v>
      </c>
      <c r="J587" s="16" t="s">
        <v>911</v>
      </c>
      <c r="K587" s="84"/>
    </row>
    <row r="588" spans="1:11" s="16" customFormat="1" ht="10.5" customHeight="1">
      <c r="A588" s="113" t="s">
        <v>917</v>
      </c>
      <c r="B588" s="103" t="s">
        <v>924</v>
      </c>
      <c r="C588" s="114">
        <v>36</v>
      </c>
      <c r="D588" s="115"/>
      <c r="E588" s="116"/>
      <c r="F588" s="115"/>
      <c r="G588" s="117"/>
      <c r="H588" s="118">
        <v>0.51</v>
      </c>
      <c r="I588" s="119"/>
      <c r="K588" s="84"/>
    </row>
    <row r="589" spans="1:11" s="16" customFormat="1" ht="10.5" customHeight="1">
      <c r="A589" s="113" t="s">
        <v>917</v>
      </c>
      <c r="B589" s="103" t="s">
        <v>924</v>
      </c>
      <c r="C589" s="114">
        <v>55</v>
      </c>
      <c r="D589" s="115"/>
      <c r="E589" s="116"/>
      <c r="F589" s="115"/>
      <c r="G589" s="117"/>
      <c r="H589" s="118">
        <v>2.65</v>
      </c>
      <c r="I589" s="119"/>
      <c r="K589" s="84"/>
    </row>
    <row r="590" spans="1:11" s="16" customFormat="1" ht="10.5" customHeight="1">
      <c r="A590" s="113" t="s">
        <v>925</v>
      </c>
      <c r="B590" s="103" t="s">
        <v>348</v>
      </c>
      <c r="C590" s="114" t="s">
        <v>926</v>
      </c>
      <c r="D590" s="115"/>
      <c r="E590" s="116"/>
      <c r="F590" s="115" t="s">
        <v>927</v>
      </c>
      <c r="G590" s="117">
        <f>0.402-0.1</f>
        <v>0.30200000000000005</v>
      </c>
      <c r="H590" s="118"/>
      <c r="I590" s="119"/>
      <c r="K590" s="84"/>
    </row>
    <row r="591" spans="1:11" s="16" customFormat="1" ht="10.5" customHeight="1">
      <c r="A591" s="113" t="s">
        <v>928</v>
      </c>
      <c r="B591" s="103" t="s">
        <v>348</v>
      </c>
      <c r="C591" s="114">
        <v>32</v>
      </c>
      <c r="D591" s="115" t="s">
        <v>467</v>
      </c>
      <c r="E591" s="116">
        <f>0.59-0.05-0.1</f>
        <v>0.43999999999999995</v>
      </c>
      <c r="F591" s="115"/>
      <c r="G591" s="117"/>
      <c r="H591" s="118"/>
      <c r="I591" s="119"/>
      <c r="K591" s="84"/>
    </row>
    <row r="592" spans="1:11" s="16" customFormat="1" ht="10.5" customHeight="1">
      <c r="A592" s="113" t="s">
        <v>929</v>
      </c>
      <c r="B592" s="103" t="s">
        <v>348</v>
      </c>
      <c r="C592" s="114">
        <v>56</v>
      </c>
      <c r="D592" s="115"/>
      <c r="E592" s="116"/>
      <c r="F592" s="115" t="s">
        <v>930</v>
      </c>
      <c r="G592" s="117">
        <f>0.417-0.075</f>
        <v>0.34199999999999997</v>
      </c>
      <c r="H592" s="118"/>
      <c r="I592" s="119"/>
      <c r="K592" s="84"/>
    </row>
    <row r="593" spans="1:11" s="16" customFormat="1" ht="10.5" customHeight="1">
      <c r="A593" s="113" t="s">
        <v>929</v>
      </c>
      <c r="B593" s="103" t="s">
        <v>348</v>
      </c>
      <c r="C593" s="114">
        <v>60</v>
      </c>
      <c r="D593" s="115"/>
      <c r="E593" s="116"/>
      <c r="F593" s="115" t="s">
        <v>931</v>
      </c>
      <c r="G593" s="117">
        <v>0.415</v>
      </c>
      <c r="H593" s="118"/>
      <c r="I593" s="119"/>
      <c r="K593" s="84"/>
    </row>
    <row r="594" spans="1:11" s="16" customFormat="1" ht="10.5" customHeight="1">
      <c r="A594" s="113" t="s">
        <v>932</v>
      </c>
      <c r="B594" s="103" t="s">
        <v>348</v>
      </c>
      <c r="C594" s="114">
        <v>60</v>
      </c>
      <c r="D594" s="115" t="s">
        <v>933</v>
      </c>
      <c r="E594" s="116">
        <f>2.778-0.03</f>
        <v>2.748</v>
      </c>
      <c r="F594" s="115"/>
      <c r="G594" s="117"/>
      <c r="H594" s="118"/>
      <c r="I594" s="119"/>
      <c r="K594" s="84"/>
    </row>
    <row r="595" spans="1:11" s="16" customFormat="1" ht="10.5" customHeight="1">
      <c r="A595" s="113" t="s">
        <v>934</v>
      </c>
      <c r="B595" s="103" t="s">
        <v>348</v>
      </c>
      <c r="C595" s="114">
        <v>70</v>
      </c>
      <c r="D595" s="115"/>
      <c r="E595" s="116"/>
      <c r="F595" s="115" t="s">
        <v>935</v>
      </c>
      <c r="G595" s="117">
        <f>1.665-0.178-0.38</f>
        <v>1.1070000000000002</v>
      </c>
      <c r="H595" s="118"/>
      <c r="I595" s="119"/>
      <c r="K595" s="84"/>
    </row>
    <row r="596" spans="1:11" s="16" customFormat="1" ht="10.5" customHeight="1">
      <c r="A596" s="113" t="s">
        <v>932</v>
      </c>
      <c r="B596" s="103" t="s">
        <v>348</v>
      </c>
      <c r="C596" s="114">
        <v>80</v>
      </c>
      <c r="D596" s="115"/>
      <c r="E596" s="116">
        <f>3-0.208-0.21-0.1-0.424-0.424-0.04</f>
        <v>1.5939999999999999</v>
      </c>
      <c r="F596" s="115"/>
      <c r="G596" s="117"/>
      <c r="H596" s="118"/>
      <c r="I596" s="119"/>
      <c r="K596" s="84"/>
    </row>
    <row r="597" spans="1:11" s="16" customFormat="1" ht="10.5" customHeight="1">
      <c r="A597" s="113" t="s">
        <v>932</v>
      </c>
      <c r="B597" s="103" t="s">
        <v>348</v>
      </c>
      <c r="C597" s="114">
        <v>90</v>
      </c>
      <c r="D597" s="115" t="s">
        <v>467</v>
      </c>
      <c r="E597" s="116">
        <f>2.95-0.64-0.216-0.23</f>
        <v>1.8639999999999999</v>
      </c>
      <c r="F597" s="115"/>
      <c r="G597" s="117"/>
      <c r="H597" s="118"/>
      <c r="I597" s="119"/>
      <c r="K597" s="84"/>
    </row>
    <row r="598" spans="1:11" s="16" customFormat="1" ht="10.5" customHeight="1">
      <c r="A598" s="113" t="s">
        <v>925</v>
      </c>
      <c r="B598" s="103" t="s">
        <v>348</v>
      </c>
      <c r="C598" s="114">
        <v>100</v>
      </c>
      <c r="D598" s="115"/>
      <c r="E598" s="116"/>
      <c r="F598" s="115" t="s">
        <v>936</v>
      </c>
      <c r="G598" s="117">
        <f>2.346-0.215-0.062-0.155-0.22-0.215-0.046</f>
        <v>1.4330000000000003</v>
      </c>
      <c r="H598" s="118"/>
      <c r="I598" s="119"/>
      <c r="K598" s="84"/>
    </row>
    <row r="599" spans="1:11" s="16" customFormat="1" ht="10.5" customHeight="1">
      <c r="A599" s="113" t="s">
        <v>925</v>
      </c>
      <c r="B599" s="103" t="s">
        <v>348</v>
      </c>
      <c r="C599" s="114">
        <v>170</v>
      </c>
      <c r="D599" s="115" t="s">
        <v>937</v>
      </c>
      <c r="E599" s="116">
        <v>0.88</v>
      </c>
      <c r="F599" s="115"/>
      <c r="G599" s="117"/>
      <c r="H599" s="118"/>
      <c r="I599" s="119"/>
      <c r="K599" s="84"/>
    </row>
    <row r="600" spans="1:11" s="16" customFormat="1" ht="10.5" customHeight="1">
      <c r="A600" s="113" t="s">
        <v>928</v>
      </c>
      <c r="B600" s="103" t="s">
        <v>348</v>
      </c>
      <c r="C600" s="114">
        <v>180</v>
      </c>
      <c r="D600" s="115" t="s">
        <v>938</v>
      </c>
      <c r="E600" s="116">
        <f>0.67-0.282-0.202</f>
        <v>0.18600000000000005</v>
      </c>
      <c r="F600" s="115"/>
      <c r="G600" s="117"/>
      <c r="H600" s="118"/>
      <c r="I600" s="119"/>
      <c r="K600" s="84"/>
    </row>
    <row r="601" spans="1:11" s="16" customFormat="1" ht="10.5" customHeight="1">
      <c r="A601" s="113" t="s">
        <v>925</v>
      </c>
      <c r="B601" s="103" t="s">
        <v>348</v>
      </c>
      <c r="C601" s="114">
        <v>210</v>
      </c>
      <c r="D601" s="115"/>
      <c r="E601" s="116"/>
      <c r="F601" s="115"/>
      <c r="G601" s="117"/>
      <c r="H601" s="118">
        <v>1.76</v>
      </c>
      <c r="I601" s="119"/>
      <c r="K601" s="84"/>
    </row>
    <row r="602" spans="1:11" s="16" customFormat="1" ht="10.5" customHeight="1">
      <c r="A602" s="113" t="s">
        <v>925</v>
      </c>
      <c r="B602" s="103" t="s">
        <v>348</v>
      </c>
      <c r="C602" s="114">
        <v>220</v>
      </c>
      <c r="D602" s="115"/>
      <c r="E602" s="116"/>
      <c r="F602" s="115"/>
      <c r="G602" s="117"/>
      <c r="H602" s="118">
        <v>2.78</v>
      </c>
      <c r="I602" s="119"/>
      <c r="K602" s="84"/>
    </row>
    <row r="603" spans="1:11" s="16" customFormat="1" ht="10.5" customHeight="1">
      <c r="A603" s="113" t="s">
        <v>925</v>
      </c>
      <c r="B603" s="103" t="s">
        <v>399</v>
      </c>
      <c r="C603" s="114" t="s">
        <v>939</v>
      </c>
      <c r="D603" s="115"/>
      <c r="E603" s="116"/>
      <c r="F603" s="115" t="s">
        <v>940</v>
      </c>
      <c r="G603" s="117">
        <v>0.85</v>
      </c>
      <c r="H603" s="118"/>
      <c r="I603" s="119"/>
      <c r="K603" s="84"/>
    </row>
    <row r="604" spans="1:11" s="16" customFormat="1" ht="10.5" customHeight="1">
      <c r="A604" s="113" t="s">
        <v>941</v>
      </c>
      <c r="B604" s="103" t="s">
        <v>348</v>
      </c>
      <c r="C604" s="114">
        <v>20</v>
      </c>
      <c r="D604" s="115"/>
      <c r="E604" s="116"/>
      <c r="F604" s="115" t="s">
        <v>942</v>
      </c>
      <c r="G604" s="117">
        <f>0.319-0.014</f>
        <v>0.305</v>
      </c>
      <c r="H604" s="118"/>
      <c r="I604" s="119"/>
      <c r="K604" s="84"/>
    </row>
    <row r="605" spans="1:11" s="16" customFormat="1" ht="10.5" customHeight="1">
      <c r="A605" s="113" t="s">
        <v>941</v>
      </c>
      <c r="B605" s="103" t="s">
        <v>348</v>
      </c>
      <c r="C605" s="114">
        <v>50</v>
      </c>
      <c r="D605" s="115"/>
      <c r="E605" s="116"/>
      <c r="F605" s="115" t="s">
        <v>943</v>
      </c>
      <c r="G605" s="117">
        <f>6.909-0.516-0.075-0.105-0.04-0.152-0.385-0.16</f>
        <v>5.475999999999999</v>
      </c>
      <c r="H605" s="118">
        <v>3.41</v>
      </c>
      <c r="I605" s="119"/>
      <c r="K605" s="84"/>
    </row>
    <row r="606" spans="1:11" s="16" customFormat="1" ht="10.5" customHeight="1">
      <c r="A606" s="113" t="s">
        <v>941</v>
      </c>
      <c r="B606" s="103" t="s">
        <v>348</v>
      </c>
      <c r="C606" s="114">
        <v>56</v>
      </c>
      <c r="D606" s="115"/>
      <c r="E606" s="116"/>
      <c r="F606" s="115" t="s">
        <v>944</v>
      </c>
      <c r="G606" s="117">
        <f>4.877-1.015-0.084</f>
        <v>3.778</v>
      </c>
      <c r="H606" s="118"/>
      <c r="I606" s="119"/>
      <c r="K606" s="84"/>
    </row>
    <row r="607" spans="1:11" s="16" customFormat="1" ht="10.5" customHeight="1">
      <c r="A607" s="113" t="s">
        <v>941</v>
      </c>
      <c r="B607" s="103" t="s">
        <v>348</v>
      </c>
      <c r="C607" s="114">
        <v>60</v>
      </c>
      <c r="D607" s="115" t="s">
        <v>459</v>
      </c>
      <c r="E607" s="124">
        <f>3.58-0.106-0.206-1.008</f>
        <v>2.2600000000000002</v>
      </c>
      <c r="F607" s="115"/>
      <c r="G607" s="117"/>
      <c r="H607" s="125"/>
      <c r="I607" s="119">
        <v>0.2</v>
      </c>
      <c r="K607" s="84"/>
    </row>
    <row r="608" spans="1:11" s="16" customFormat="1" ht="10.5" customHeight="1">
      <c r="A608" s="113" t="s">
        <v>941</v>
      </c>
      <c r="B608" s="103" t="s">
        <v>348</v>
      </c>
      <c r="C608" s="114">
        <v>70</v>
      </c>
      <c r="D608" s="115"/>
      <c r="E608" s="124"/>
      <c r="F608" s="115"/>
      <c r="G608" s="117"/>
      <c r="H608" s="125">
        <v>3.44</v>
      </c>
      <c r="I608" s="119"/>
      <c r="K608" s="85">
        <v>40618</v>
      </c>
    </row>
    <row r="609" spans="1:11" s="16" customFormat="1" ht="10.5" customHeight="1">
      <c r="A609" s="113" t="s">
        <v>941</v>
      </c>
      <c r="B609" s="103" t="s">
        <v>348</v>
      </c>
      <c r="C609" s="114">
        <v>80</v>
      </c>
      <c r="D609" s="115"/>
      <c r="E609" s="116">
        <f>3.05-0.374-1.08-1.04</f>
        <v>0.5559999999999996</v>
      </c>
      <c r="F609" s="115"/>
      <c r="G609" s="117"/>
      <c r="H609" s="125">
        <v>2.84</v>
      </c>
      <c r="I609" s="119"/>
      <c r="K609" s="85">
        <v>40586</v>
      </c>
    </row>
    <row r="610" spans="1:11" s="16" customFormat="1" ht="10.5" customHeight="1">
      <c r="A610" s="113" t="s">
        <v>941</v>
      </c>
      <c r="B610" s="103" t="s">
        <v>348</v>
      </c>
      <c r="C610" s="114">
        <v>90</v>
      </c>
      <c r="D610" s="115"/>
      <c r="E610" s="116"/>
      <c r="F610" s="115"/>
      <c r="G610" s="117"/>
      <c r="H610" s="125">
        <v>3.6</v>
      </c>
      <c r="I610" s="119"/>
      <c r="K610" s="85">
        <v>40586</v>
      </c>
    </row>
    <row r="611" spans="1:11" s="16" customFormat="1" ht="10.5" customHeight="1">
      <c r="A611" s="113" t="s">
        <v>941</v>
      </c>
      <c r="B611" s="103" t="s">
        <v>348</v>
      </c>
      <c r="C611" s="114">
        <v>100</v>
      </c>
      <c r="D611" s="115" t="s">
        <v>442</v>
      </c>
      <c r="E611" s="116">
        <f>1.17+1.75-0.548-1.52</f>
        <v>0.8519999999999999</v>
      </c>
      <c r="F611" s="115"/>
      <c r="G611" s="117"/>
      <c r="H611" s="118"/>
      <c r="I611" s="123"/>
      <c r="K611" s="84"/>
    </row>
    <row r="612" spans="1:11" s="16" customFormat="1" ht="10.5" customHeight="1">
      <c r="A612" s="113" t="s">
        <v>941</v>
      </c>
      <c r="B612" s="103" t="s">
        <v>348</v>
      </c>
      <c r="C612" s="114">
        <v>110</v>
      </c>
      <c r="D612" s="115"/>
      <c r="E612" s="116"/>
      <c r="F612" s="115"/>
      <c r="G612" s="117"/>
      <c r="H612" s="125">
        <v>3.54</v>
      </c>
      <c r="I612" s="119"/>
      <c r="K612" s="85">
        <v>40624</v>
      </c>
    </row>
    <row r="613" spans="1:11" s="16" customFormat="1" ht="10.5" customHeight="1">
      <c r="A613" s="113" t="s">
        <v>941</v>
      </c>
      <c r="B613" s="103" t="s">
        <v>348</v>
      </c>
      <c r="C613" s="114">
        <v>140</v>
      </c>
      <c r="D613" s="115" t="s">
        <v>945</v>
      </c>
      <c r="E613" s="116">
        <f>4.25-0.952-1.906+5.15-0.064-1.904-0.124-0.122-0.11-0.47-1.908</f>
        <v>1.8400000000000012</v>
      </c>
      <c r="F613" s="115"/>
      <c r="G613" s="117"/>
      <c r="H613" s="125">
        <f>2.84+1.74</f>
        <v>4.58</v>
      </c>
      <c r="I613" s="123" t="s">
        <v>398</v>
      </c>
      <c r="J613" s="16" t="s">
        <v>609</v>
      </c>
      <c r="K613" s="85">
        <v>40624</v>
      </c>
    </row>
    <row r="614" spans="1:11" s="16" customFormat="1" ht="10.5" customHeight="1">
      <c r="A614" s="113" t="s">
        <v>941</v>
      </c>
      <c r="B614" s="103" t="s">
        <v>348</v>
      </c>
      <c r="C614" s="114">
        <v>150</v>
      </c>
      <c r="D614" s="115" t="s">
        <v>946</v>
      </c>
      <c r="E614" s="116">
        <f>3.69-3.25</f>
        <v>0.43999999999999995</v>
      </c>
      <c r="F614" s="115" t="s">
        <v>519</v>
      </c>
      <c r="G614" s="122">
        <f>3.25-2.797</f>
        <v>0.45299999999999985</v>
      </c>
      <c r="H614" s="125"/>
      <c r="I614" s="119">
        <v>0.453</v>
      </c>
      <c r="J614" s="16" t="s">
        <v>947</v>
      </c>
      <c r="K614" s="85">
        <v>40586</v>
      </c>
    </row>
    <row r="615" spans="1:11" s="16" customFormat="1" ht="10.5" customHeight="1">
      <c r="A615" s="113" t="s">
        <v>941</v>
      </c>
      <c r="B615" s="103" t="s">
        <v>348</v>
      </c>
      <c r="C615" s="114">
        <v>150</v>
      </c>
      <c r="D615" s="115" t="s">
        <v>948</v>
      </c>
      <c r="E615" s="124">
        <v>3.9</v>
      </c>
      <c r="F615" s="115"/>
      <c r="G615" s="122"/>
      <c r="H615" s="125"/>
      <c r="I615" s="119">
        <v>4.3</v>
      </c>
      <c r="J615" s="16" t="s">
        <v>715</v>
      </c>
      <c r="K615" s="85"/>
    </row>
    <row r="616" spans="1:11" s="16" customFormat="1" ht="10.5" customHeight="1">
      <c r="A616" s="113" t="s">
        <v>941</v>
      </c>
      <c r="B616" s="103" t="s">
        <v>348</v>
      </c>
      <c r="C616" s="114">
        <v>160</v>
      </c>
      <c r="D616" s="115" t="s">
        <v>949</v>
      </c>
      <c r="E616" s="116">
        <v>1</v>
      </c>
      <c r="F616" s="115"/>
      <c r="G616" s="117"/>
      <c r="H616" s="118"/>
      <c r="I616" s="119"/>
      <c r="K616" s="84"/>
    </row>
    <row r="617" spans="1:11" s="16" customFormat="1" ht="10.5" customHeight="1">
      <c r="A617" s="113" t="s">
        <v>941</v>
      </c>
      <c r="B617" s="103" t="s">
        <v>348</v>
      </c>
      <c r="C617" s="114">
        <v>170</v>
      </c>
      <c r="D617" s="115" t="s">
        <v>950</v>
      </c>
      <c r="E617" s="116">
        <f>1.91-1.44</f>
        <v>0.47</v>
      </c>
      <c r="F617" s="115"/>
      <c r="G617" s="117"/>
      <c r="H617" s="118">
        <v>2.13</v>
      </c>
      <c r="I617" s="119"/>
      <c r="K617" s="84"/>
    </row>
    <row r="618" spans="1:11" s="16" customFormat="1" ht="10.5" customHeight="1">
      <c r="A618" s="113" t="s">
        <v>941</v>
      </c>
      <c r="B618" s="103" t="s">
        <v>348</v>
      </c>
      <c r="C618" s="114">
        <v>180</v>
      </c>
      <c r="D618" s="115" t="s">
        <v>951</v>
      </c>
      <c r="E618" s="116">
        <f>0.638+1.97+1.78-0.396-0.6</f>
        <v>3.392</v>
      </c>
      <c r="F618" s="115"/>
      <c r="G618" s="117"/>
      <c r="H618" s="118">
        <v>1.13</v>
      </c>
      <c r="I618" s="119"/>
      <c r="K618" s="84"/>
    </row>
    <row r="619" spans="1:11" s="16" customFormat="1" ht="10.5" customHeight="1">
      <c r="A619" s="113" t="s">
        <v>941</v>
      </c>
      <c r="B619" s="103" t="s">
        <v>348</v>
      </c>
      <c r="C619" s="114">
        <v>190</v>
      </c>
      <c r="D619" s="115"/>
      <c r="E619" s="116"/>
      <c r="F619" s="115"/>
      <c r="G619" s="117"/>
      <c r="H619" s="118">
        <v>2.53</v>
      </c>
      <c r="I619" s="119"/>
      <c r="K619" s="84"/>
    </row>
    <row r="620" spans="1:11" s="16" customFormat="1" ht="10.5" customHeight="1">
      <c r="A620" s="113" t="s">
        <v>941</v>
      </c>
      <c r="B620" s="103" t="s">
        <v>348</v>
      </c>
      <c r="C620" s="114">
        <v>200</v>
      </c>
      <c r="D620" s="115" t="s">
        <v>952</v>
      </c>
      <c r="E620" s="116">
        <f>2.2+1.6-0.804-0.8</f>
        <v>2.1960000000000006</v>
      </c>
      <c r="F620" s="115"/>
      <c r="G620" s="117"/>
      <c r="H620" s="118"/>
      <c r="I620" s="119"/>
      <c r="K620" s="84"/>
    </row>
    <row r="621" spans="1:11" s="16" customFormat="1" ht="10.5" customHeight="1">
      <c r="A621" s="113" t="s">
        <v>941</v>
      </c>
      <c r="B621" s="103" t="s">
        <v>348</v>
      </c>
      <c r="C621" s="114">
        <v>210</v>
      </c>
      <c r="D621" s="115" t="s">
        <v>953</v>
      </c>
      <c r="E621" s="116">
        <f>2.53-1.618+0.9+3.25-1.69-0.18</f>
        <v>3.1919999999999993</v>
      </c>
      <c r="F621" s="115"/>
      <c r="G621" s="117"/>
      <c r="H621" s="118"/>
      <c r="I621" s="119"/>
      <c r="K621" s="84"/>
    </row>
    <row r="622" spans="1:11" s="16" customFormat="1" ht="10.5" customHeight="1">
      <c r="A622" s="113" t="s">
        <v>941</v>
      </c>
      <c r="B622" s="103" t="s">
        <v>348</v>
      </c>
      <c r="C622" s="114">
        <v>230</v>
      </c>
      <c r="D622" s="115" t="s">
        <v>954</v>
      </c>
      <c r="E622" s="116">
        <f>4.38-0.486</f>
        <v>3.894</v>
      </c>
      <c r="F622" s="115"/>
      <c r="G622" s="117"/>
      <c r="H622" s="118">
        <v>2.55</v>
      </c>
      <c r="I622" s="123"/>
      <c r="K622" s="84"/>
    </row>
    <row r="623" spans="1:11" s="16" customFormat="1" ht="10.5" customHeight="1">
      <c r="A623" s="113" t="s">
        <v>941</v>
      </c>
      <c r="B623" s="103" t="s">
        <v>348</v>
      </c>
      <c r="C623" s="114">
        <v>240</v>
      </c>
      <c r="D623" s="115" t="s">
        <v>625</v>
      </c>
      <c r="E623" s="124">
        <v>3.49</v>
      </c>
      <c r="F623" s="115"/>
      <c r="G623" s="117"/>
      <c r="H623" s="118"/>
      <c r="I623" s="123"/>
      <c r="K623" s="84"/>
    </row>
    <row r="624" spans="1:11" s="16" customFormat="1" ht="10.5" customHeight="1">
      <c r="A624" s="113" t="s">
        <v>941</v>
      </c>
      <c r="B624" s="103" t="s">
        <v>348</v>
      </c>
      <c r="C624" s="114">
        <v>250</v>
      </c>
      <c r="D624" s="115" t="s">
        <v>545</v>
      </c>
      <c r="E624" s="116">
        <f>3.12-2.1+1.21-1.21-0.182+3.38-2.26-1.142</f>
        <v>0.8160000000000003</v>
      </c>
      <c r="F624" s="115"/>
      <c r="G624" s="117"/>
      <c r="H624" s="118"/>
      <c r="I624" s="119"/>
      <c r="K624" s="84"/>
    </row>
    <row r="625" spans="1:11" s="16" customFormat="1" ht="10.5" customHeight="1">
      <c r="A625" s="113" t="s">
        <v>941</v>
      </c>
      <c r="B625" s="103" t="s">
        <v>348</v>
      </c>
      <c r="C625" s="114">
        <v>260</v>
      </c>
      <c r="D625" s="115"/>
      <c r="E625" s="116"/>
      <c r="F625" s="115"/>
      <c r="G625" s="117"/>
      <c r="H625" s="118">
        <v>1.48</v>
      </c>
      <c r="I625" s="119"/>
      <c r="K625" s="84"/>
    </row>
    <row r="626" spans="1:11" s="16" customFormat="1" ht="10.5" customHeight="1">
      <c r="A626" s="113" t="s">
        <v>941</v>
      </c>
      <c r="B626" s="103" t="s">
        <v>348</v>
      </c>
      <c r="C626" s="114">
        <v>270</v>
      </c>
      <c r="D626" s="115"/>
      <c r="E626" s="116"/>
      <c r="F626" s="115"/>
      <c r="G626" s="117"/>
      <c r="H626" s="118">
        <v>4.57</v>
      </c>
      <c r="I626" s="119"/>
      <c r="K626" s="84"/>
    </row>
    <row r="627" spans="1:11" s="16" customFormat="1" ht="10.5" customHeight="1">
      <c r="A627" s="113" t="s">
        <v>941</v>
      </c>
      <c r="B627" s="103" t="s">
        <v>348</v>
      </c>
      <c r="C627" s="114">
        <v>280</v>
      </c>
      <c r="D627" s="115" t="s">
        <v>955</v>
      </c>
      <c r="E627" s="116">
        <f>3.17-0.576-0.246-0.246-0.526+2.32-1.566-1.154-0.078</f>
        <v>1.098</v>
      </c>
      <c r="F627" s="115"/>
      <c r="G627" s="117"/>
      <c r="H627" s="125">
        <v>4.65</v>
      </c>
      <c r="I627" s="119"/>
      <c r="K627" s="85">
        <v>40586</v>
      </c>
    </row>
    <row r="628" spans="1:11" s="16" customFormat="1" ht="10.5" customHeight="1">
      <c r="A628" s="113" t="s">
        <v>941</v>
      </c>
      <c r="B628" s="103" t="s">
        <v>370</v>
      </c>
      <c r="C628" s="114" t="s">
        <v>956</v>
      </c>
      <c r="D628" s="115"/>
      <c r="E628" s="116"/>
      <c r="F628" s="115" t="s">
        <v>957</v>
      </c>
      <c r="G628" s="117">
        <f>2.328-1.71</f>
        <v>0.6179999999999999</v>
      </c>
      <c r="H628" s="118"/>
      <c r="I628" s="119"/>
      <c r="K628" s="84"/>
    </row>
    <row r="629" spans="1:11" s="16" customFormat="1" ht="10.5" customHeight="1">
      <c r="A629" s="113" t="s">
        <v>958</v>
      </c>
      <c r="B629" s="103" t="s">
        <v>348</v>
      </c>
      <c r="C629" s="114">
        <v>100</v>
      </c>
      <c r="D629" s="115"/>
      <c r="E629" s="116"/>
      <c r="F629" s="115"/>
      <c r="G629" s="117"/>
      <c r="H629" s="118">
        <v>2.65</v>
      </c>
      <c r="I629" s="119"/>
      <c r="K629" s="84"/>
    </row>
    <row r="630" spans="1:11" s="16" customFormat="1" ht="10.5" customHeight="1">
      <c r="A630" s="113" t="s">
        <v>958</v>
      </c>
      <c r="B630" s="103" t="s">
        <v>348</v>
      </c>
      <c r="C630" s="114">
        <v>160</v>
      </c>
      <c r="D630" s="115"/>
      <c r="E630" s="116"/>
      <c r="F630" s="115"/>
      <c r="G630" s="117"/>
      <c r="H630" s="118">
        <v>2.08</v>
      </c>
      <c r="I630" s="119"/>
      <c r="K630" s="84"/>
    </row>
    <row r="631" spans="1:11" s="16" customFormat="1" ht="10.5" customHeight="1">
      <c r="A631" s="113" t="s">
        <v>958</v>
      </c>
      <c r="B631" s="103" t="s">
        <v>348</v>
      </c>
      <c r="C631" s="114" t="s">
        <v>959</v>
      </c>
      <c r="D631" s="115"/>
      <c r="E631" s="116"/>
      <c r="F631" s="115"/>
      <c r="G631" s="117"/>
      <c r="H631" s="118">
        <v>2</v>
      </c>
      <c r="I631" s="119"/>
      <c r="K631" s="84"/>
    </row>
    <row r="632" spans="1:11" s="16" customFormat="1" ht="10.5" customHeight="1">
      <c r="A632" s="113" t="s">
        <v>960</v>
      </c>
      <c r="B632" s="103" t="s">
        <v>348</v>
      </c>
      <c r="C632" s="114" t="s">
        <v>506</v>
      </c>
      <c r="D632" s="115"/>
      <c r="E632" s="116"/>
      <c r="F632" s="115"/>
      <c r="G632" s="117"/>
      <c r="H632" s="118">
        <v>0.2</v>
      </c>
      <c r="I632" s="119"/>
      <c r="K632" s="84"/>
    </row>
    <row r="633" spans="1:11" s="16" customFormat="1" ht="10.5" customHeight="1">
      <c r="A633" s="113" t="s">
        <v>958</v>
      </c>
      <c r="B633" s="103" t="s">
        <v>364</v>
      </c>
      <c r="C633" s="114" t="s">
        <v>961</v>
      </c>
      <c r="D633" s="115"/>
      <c r="E633" s="116"/>
      <c r="F633" s="115"/>
      <c r="G633" s="117"/>
      <c r="H633" s="118">
        <v>12</v>
      </c>
      <c r="I633" s="119"/>
      <c r="K633" s="84"/>
    </row>
    <row r="634" spans="1:11" s="16" customFormat="1" ht="10.5" customHeight="1">
      <c r="A634" s="113" t="s">
        <v>958</v>
      </c>
      <c r="B634" s="103" t="s">
        <v>364</v>
      </c>
      <c r="C634" s="114" t="s">
        <v>962</v>
      </c>
      <c r="D634" s="115"/>
      <c r="E634" s="116"/>
      <c r="F634" s="115"/>
      <c r="G634" s="117"/>
      <c r="H634" s="118">
        <v>8</v>
      </c>
      <c r="I634" s="119"/>
      <c r="K634" s="84"/>
    </row>
    <row r="635" spans="1:11" s="16" customFormat="1" ht="10.5" customHeight="1">
      <c r="A635" s="113" t="s">
        <v>963</v>
      </c>
      <c r="B635" s="103" t="s">
        <v>348</v>
      </c>
      <c r="C635" s="114">
        <v>24</v>
      </c>
      <c r="D635" s="115"/>
      <c r="E635" s="116"/>
      <c r="F635" s="115" t="s">
        <v>964</v>
      </c>
      <c r="G635" s="117">
        <f>1.28-0.3-0.034-0.017-0.016-0.1-0.032-0.036</f>
        <v>0.7449999999999999</v>
      </c>
      <c r="H635" s="118"/>
      <c r="I635" s="119"/>
      <c r="K635" s="84"/>
    </row>
    <row r="636" spans="1:11" s="16" customFormat="1" ht="10.5" customHeight="1">
      <c r="A636" s="113" t="s">
        <v>965</v>
      </c>
      <c r="B636" s="103" t="s">
        <v>348</v>
      </c>
      <c r="C636" s="114">
        <v>50</v>
      </c>
      <c r="D636" s="115" t="s">
        <v>918</v>
      </c>
      <c r="E636" s="116">
        <f>3.1-0.086-0.03-0.048-0.084-0.084-0.498-0.082-0.084-0.25-0.082-0.166</f>
        <v>1.6060000000000005</v>
      </c>
      <c r="F636" s="115"/>
      <c r="G636" s="117"/>
      <c r="H636" s="118"/>
      <c r="I636" s="119"/>
      <c r="K636" s="84"/>
    </row>
    <row r="637" spans="1:11" s="16" customFormat="1" ht="10.5" customHeight="1">
      <c r="A637" s="113" t="s">
        <v>965</v>
      </c>
      <c r="B637" s="103" t="s">
        <v>348</v>
      </c>
      <c r="C637" s="114">
        <v>60</v>
      </c>
      <c r="D637" s="115" t="s">
        <v>966</v>
      </c>
      <c r="E637" s="116">
        <f>2.03-0.478-0.32-0.106-0.09+3.31-0.348-0.186-0.548-0.022-0.118-0.234-0.098-0.236-0.118-0.348-0.702-0.514-0.256-0.15</f>
        <v>0.4680000000000012</v>
      </c>
      <c r="F637" s="115"/>
      <c r="G637" s="117"/>
      <c r="H637" s="125">
        <v>3.35</v>
      </c>
      <c r="I637" s="119"/>
      <c r="K637" s="85">
        <v>40586</v>
      </c>
    </row>
    <row r="638" spans="1:11" s="16" customFormat="1" ht="10.5" customHeight="1">
      <c r="A638" s="113" t="s">
        <v>967</v>
      </c>
      <c r="B638" s="103" t="s">
        <v>348</v>
      </c>
      <c r="C638" s="114">
        <v>65</v>
      </c>
      <c r="D638" s="115" t="s">
        <v>687</v>
      </c>
      <c r="E638" s="116">
        <v>0.062</v>
      </c>
      <c r="F638" s="115"/>
      <c r="G638" s="117"/>
      <c r="H638" s="118"/>
      <c r="I638" s="119"/>
      <c r="K638" s="84"/>
    </row>
    <row r="639" spans="1:11" s="16" customFormat="1" ht="10.5" customHeight="1">
      <c r="A639" s="113" t="s">
        <v>965</v>
      </c>
      <c r="B639" s="103" t="s">
        <v>348</v>
      </c>
      <c r="C639" s="114">
        <v>70</v>
      </c>
      <c r="D639" s="115" t="s">
        <v>968</v>
      </c>
      <c r="E639" s="116">
        <f>0.884-0.146+3.14-0.076-0.038-0.05-1.076-0.16-0.16-0.16-0.16-0.316-0.078-0.162-0.04</f>
        <v>1.402</v>
      </c>
      <c r="F639" s="115"/>
      <c r="G639" s="117"/>
      <c r="H639" s="125">
        <v>3</v>
      </c>
      <c r="I639" s="119"/>
      <c r="K639" s="85">
        <v>40631</v>
      </c>
    </row>
    <row r="640" spans="1:11" s="16" customFormat="1" ht="10.5" customHeight="1">
      <c r="A640" s="113" t="s">
        <v>965</v>
      </c>
      <c r="B640" s="103" t="s">
        <v>348</v>
      </c>
      <c r="C640" s="114">
        <v>80</v>
      </c>
      <c r="D640" s="115" t="s">
        <v>969</v>
      </c>
      <c r="E640" s="116">
        <f>3.14-0.174-1.276+3.45-0.216-0.042-0.488-0.052-0.632-0.46-0.204-0.306-0.064-0.412-0.204-0.08-0.614</f>
        <v>1.366</v>
      </c>
      <c r="F640" s="115"/>
      <c r="G640" s="117"/>
      <c r="H640" s="125">
        <v>3</v>
      </c>
      <c r="I640" s="119"/>
      <c r="K640" s="85">
        <v>40631</v>
      </c>
    </row>
    <row r="641" spans="1:11" s="16" customFormat="1" ht="10.5" customHeight="1">
      <c r="A641" s="113" t="s">
        <v>965</v>
      </c>
      <c r="B641" s="103" t="s">
        <v>348</v>
      </c>
      <c r="C641" s="114">
        <v>90</v>
      </c>
      <c r="D641" s="115" t="s">
        <v>970</v>
      </c>
      <c r="E641" s="116">
        <f>2.2+1-0.196-0.2-0.21-0.208-0.37</f>
        <v>2.0159999999999996</v>
      </c>
      <c r="F641" s="115"/>
      <c r="G641" s="122"/>
      <c r="H641" s="118"/>
      <c r="I641" s="119"/>
      <c r="K641" s="84"/>
    </row>
    <row r="642" spans="1:11" s="16" customFormat="1" ht="10.5" customHeight="1">
      <c r="A642" s="113" t="s">
        <v>965</v>
      </c>
      <c r="B642" s="103" t="s">
        <v>348</v>
      </c>
      <c r="C642" s="114">
        <v>100</v>
      </c>
      <c r="D642" s="115" t="s">
        <v>481</v>
      </c>
      <c r="E642" s="116">
        <f>3.25-0.304-0.286-0.298-0.296-0.29-0.58-0.326-0.626+3.1-0.02</f>
        <v>3.3240000000000003</v>
      </c>
      <c r="F642" s="115"/>
      <c r="G642" s="117"/>
      <c r="H642" s="118"/>
      <c r="I642" s="119"/>
      <c r="K642" s="84"/>
    </row>
    <row r="643" spans="1:11" s="16" customFormat="1" ht="10.5" customHeight="1">
      <c r="A643" s="113" t="s">
        <v>965</v>
      </c>
      <c r="B643" s="103" t="s">
        <v>348</v>
      </c>
      <c r="C643" s="114">
        <v>110</v>
      </c>
      <c r="D643" s="115" t="s">
        <v>442</v>
      </c>
      <c r="E643" s="116">
        <f>3.6-2.13-0.31</f>
        <v>1.1600000000000001</v>
      </c>
      <c r="F643" s="115"/>
      <c r="G643" s="117"/>
      <c r="H643" s="125">
        <v>3</v>
      </c>
      <c r="I643" s="119"/>
      <c r="K643" s="85">
        <v>40586</v>
      </c>
    </row>
    <row r="644" spans="1:11" s="16" customFormat="1" ht="10.5" customHeight="1">
      <c r="A644" s="113" t="s">
        <v>965</v>
      </c>
      <c r="B644" s="103" t="s">
        <v>348</v>
      </c>
      <c r="C644" s="114" t="s">
        <v>971</v>
      </c>
      <c r="D644" s="115" t="s">
        <v>405</v>
      </c>
      <c r="E644" s="116">
        <f>2.478-0.406-1.176</f>
        <v>0.8960000000000001</v>
      </c>
      <c r="F644" s="115"/>
      <c r="G644" s="117"/>
      <c r="H644" s="118"/>
      <c r="I644" s="119" t="s">
        <v>398</v>
      </c>
      <c r="J644" s="16" t="s">
        <v>609</v>
      </c>
      <c r="K644" s="84"/>
    </row>
    <row r="645" spans="1:11" s="16" customFormat="1" ht="10.5" customHeight="1">
      <c r="A645" s="113" t="s">
        <v>965</v>
      </c>
      <c r="B645" s="103" t="s">
        <v>348</v>
      </c>
      <c r="C645" s="114" t="s">
        <v>971</v>
      </c>
      <c r="D645" s="115" t="s">
        <v>405</v>
      </c>
      <c r="E645" s="124">
        <f>2.322-0.408-0.908-0.304</f>
        <v>0.7020000000000002</v>
      </c>
      <c r="F645" s="115"/>
      <c r="G645" s="117"/>
      <c r="H645" s="118"/>
      <c r="I645" s="119" t="s">
        <v>398</v>
      </c>
      <c r="J645" s="16" t="s">
        <v>609</v>
      </c>
      <c r="K645" s="84"/>
    </row>
    <row r="646" spans="1:11" s="16" customFormat="1" ht="10.5" customHeight="1">
      <c r="A646" s="113" t="s">
        <v>965</v>
      </c>
      <c r="B646" s="103" t="s">
        <v>348</v>
      </c>
      <c r="C646" s="114" t="s">
        <v>415</v>
      </c>
      <c r="D646" s="115"/>
      <c r="E646" s="116">
        <v>15</v>
      </c>
      <c r="F646" s="115"/>
      <c r="G646" s="117"/>
      <c r="H646" s="125">
        <v>5</v>
      </c>
      <c r="I646" s="119"/>
      <c r="K646" s="85">
        <v>40618</v>
      </c>
    </row>
    <row r="647" spans="1:11" s="16" customFormat="1" ht="10.5" customHeight="1">
      <c r="A647" s="113" t="s">
        <v>965</v>
      </c>
      <c r="B647" s="103" t="s">
        <v>348</v>
      </c>
      <c r="C647" s="114">
        <v>140</v>
      </c>
      <c r="D647" s="115"/>
      <c r="E647" s="116"/>
      <c r="F647" s="115"/>
      <c r="G647" s="117"/>
      <c r="H647" s="125">
        <v>3.97</v>
      </c>
      <c r="I647" s="119"/>
      <c r="K647" s="85">
        <v>40586</v>
      </c>
    </row>
    <row r="648" spans="1:11" s="16" customFormat="1" ht="10.5" customHeight="1">
      <c r="A648" s="113" t="s">
        <v>965</v>
      </c>
      <c r="B648" s="103" t="s">
        <v>348</v>
      </c>
      <c r="C648" s="114">
        <v>150</v>
      </c>
      <c r="D648" s="115" t="s">
        <v>972</v>
      </c>
      <c r="E648" s="124">
        <f>4.05-0.578</f>
        <v>3.472</v>
      </c>
      <c r="F648" s="115"/>
      <c r="G648" s="117"/>
      <c r="H648" s="125"/>
      <c r="I648" s="119"/>
      <c r="J648" s="89"/>
      <c r="K648" s="90"/>
    </row>
    <row r="649" spans="1:11" s="16" customFormat="1" ht="10.5" customHeight="1">
      <c r="A649" s="113" t="s">
        <v>965</v>
      </c>
      <c r="B649" s="103" t="s">
        <v>348</v>
      </c>
      <c r="C649" s="114">
        <v>160</v>
      </c>
      <c r="D649" s="115" t="s">
        <v>973</v>
      </c>
      <c r="E649" s="116">
        <f>3.7-0.474-0.906-0.47-0.472-0.24-0.16</f>
        <v>0.9779999999999999</v>
      </c>
      <c r="F649" s="115"/>
      <c r="G649" s="117"/>
      <c r="H649" s="125">
        <v>4</v>
      </c>
      <c r="I649" s="119"/>
      <c r="K649" s="85">
        <v>40618</v>
      </c>
    </row>
    <row r="650" spans="1:11" s="16" customFormat="1" ht="10.5" customHeight="1">
      <c r="A650" s="113" t="s">
        <v>965</v>
      </c>
      <c r="B650" s="103" t="s">
        <v>348</v>
      </c>
      <c r="C650" s="114">
        <v>180</v>
      </c>
      <c r="D650" s="115" t="s">
        <v>974</v>
      </c>
      <c r="E650" s="124">
        <f>3.54-2.38</f>
        <v>1.1600000000000001</v>
      </c>
      <c r="F650" s="115"/>
      <c r="G650" s="117"/>
      <c r="H650" s="125">
        <v>4.44</v>
      </c>
      <c r="I650" s="119"/>
      <c r="K650" s="85">
        <v>40631</v>
      </c>
    </row>
    <row r="651" spans="1:11" s="16" customFormat="1" ht="10.5" customHeight="1">
      <c r="A651" s="113" t="s">
        <v>965</v>
      </c>
      <c r="B651" s="103" t="s">
        <v>348</v>
      </c>
      <c r="C651" s="114">
        <v>190</v>
      </c>
      <c r="D651" s="115" t="s">
        <v>975</v>
      </c>
      <c r="E651" s="116">
        <f>3.89-1.346-0.676</f>
        <v>1.8679999999999999</v>
      </c>
      <c r="F651" s="115"/>
      <c r="G651" s="117"/>
      <c r="H651" s="125">
        <v>4.33</v>
      </c>
      <c r="I651" s="123"/>
      <c r="K651" s="85">
        <v>40586</v>
      </c>
    </row>
    <row r="652" spans="1:11" s="16" customFormat="1" ht="10.5" customHeight="1">
      <c r="A652" s="113" t="s">
        <v>965</v>
      </c>
      <c r="B652" s="103" t="s">
        <v>348</v>
      </c>
      <c r="C652" s="114">
        <v>200</v>
      </c>
      <c r="D652" s="115"/>
      <c r="E652" s="116"/>
      <c r="F652" s="115"/>
      <c r="G652" s="117"/>
      <c r="H652" s="125">
        <v>5</v>
      </c>
      <c r="I652" s="123"/>
      <c r="K652" s="85">
        <v>40631</v>
      </c>
    </row>
    <row r="653" spans="1:11" s="16" customFormat="1" ht="10.5" customHeight="1">
      <c r="A653" s="113" t="s">
        <v>965</v>
      </c>
      <c r="B653" s="103" t="s">
        <v>348</v>
      </c>
      <c r="C653" s="114">
        <v>210</v>
      </c>
      <c r="D653" s="115" t="s">
        <v>976</v>
      </c>
      <c r="E653" s="116">
        <f>3.98-0.802</f>
        <v>3.178</v>
      </c>
      <c r="F653" s="115"/>
      <c r="G653" s="117"/>
      <c r="H653" s="118"/>
      <c r="I653" s="119"/>
      <c r="K653" s="84"/>
    </row>
    <row r="654" spans="1:11" s="16" customFormat="1" ht="10.5" customHeight="1">
      <c r="A654" s="113" t="s">
        <v>965</v>
      </c>
      <c r="B654" s="103" t="s">
        <v>348</v>
      </c>
      <c r="C654" s="114">
        <v>220</v>
      </c>
      <c r="D654" s="115"/>
      <c r="E654" s="116"/>
      <c r="F654" s="115"/>
      <c r="G654" s="117"/>
      <c r="H654" s="125">
        <v>4</v>
      </c>
      <c r="I654" s="119"/>
      <c r="K654" s="85">
        <v>40631</v>
      </c>
    </row>
    <row r="655" spans="1:11" s="16" customFormat="1" ht="10.5" customHeight="1">
      <c r="A655" s="113" t="s">
        <v>965</v>
      </c>
      <c r="B655" s="103" t="s">
        <v>348</v>
      </c>
      <c r="C655" s="114">
        <v>230</v>
      </c>
      <c r="D655" s="115" t="s">
        <v>915</v>
      </c>
      <c r="E655" s="116">
        <f>3.56-1.78-0.982-0.178+3.59-3.59</f>
        <v>0.6200000000000001</v>
      </c>
      <c r="F655" s="115"/>
      <c r="G655" s="117"/>
      <c r="H655" s="118"/>
      <c r="I655" s="119"/>
      <c r="K655" s="84"/>
    </row>
    <row r="656" spans="1:11" s="16" customFormat="1" ht="10.5" customHeight="1">
      <c r="A656" s="113" t="s">
        <v>965</v>
      </c>
      <c r="B656" s="103" t="s">
        <v>348</v>
      </c>
      <c r="C656" s="114">
        <v>240</v>
      </c>
      <c r="D656" s="115" t="s">
        <v>977</v>
      </c>
      <c r="E656" s="116">
        <f>4.71-2.34</f>
        <v>2.37</v>
      </c>
      <c r="F656" s="115"/>
      <c r="G656" s="117"/>
      <c r="H656" s="125">
        <v>4</v>
      </c>
      <c r="I656" s="123"/>
      <c r="K656" s="85">
        <v>40631</v>
      </c>
    </row>
    <row r="657" spans="1:11" s="16" customFormat="1" ht="10.5" customHeight="1">
      <c r="A657" s="113" t="s">
        <v>965</v>
      </c>
      <c r="B657" s="103" t="s">
        <v>348</v>
      </c>
      <c r="C657" s="114">
        <v>250</v>
      </c>
      <c r="D657" s="115" t="s">
        <v>978</v>
      </c>
      <c r="E657" s="116">
        <f>1.21+3.61-1.25</f>
        <v>3.5700000000000003</v>
      </c>
      <c r="F657" s="115"/>
      <c r="G657" s="117"/>
      <c r="H657" s="118"/>
      <c r="I657" s="119"/>
      <c r="K657" s="84"/>
    </row>
    <row r="658" spans="1:11" s="16" customFormat="1" ht="10.5" customHeight="1">
      <c r="A658" s="113" t="s">
        <v>965</v>
      </c>
      <c r="B658" s="103" t="s">
        <v>348</v>
      </c>
      <c r="C658" s="114">
        <v>270</v>
      </c>
      <c r="D658" s="115" t="s">
        <v>979</v>
      </c>
      <c r="E658" s="116">
        <f>3-0.094-0.528-1.53</f>
        <v>0.8480000000000001</v>
      </c>
      <c r="F658" s="115"/>
      <c r="G658" s="117"/>
      <c r="H658" s="118"/>
      <c r="I658" s="119"/>
      <c r="K658" s="84"/>
    </row>
    <row r="659" spans="1:11" s="16" customFormat="1" ht="10.5" customHeight="1">
      <c r="A659" s="113" t="s">
        <v>965</v>
      </c>
      <c r="B659" s="103" t="s">
        <v>348</v>
      </c>
      <c r="C659" s="114">
        <v>280</v>
      </c>
      <c r="D659" s="115"/>
      <c r="E659" s="116"/>
      <c r="F659" s="115"/>
      <c r="G659" s="117"/>
      <c r="H659" s="125">
        <v>4</v>
      </c>
      <c r="I659" s="123"/>
      <c r="J659" s="87"/>
      <c r="K659" s="85">
        <v>40618</v>
      </c>
    </row>
    <row r="660" spans="1:11" s="16" customFormat="1" ht="10.5" customHeight="1">
      <c r="A660" s="113" t="s">
        <v>965</v>
      </c>
      <c r="B660" s="103" t="s">
        <v>348</v>
      </c>
      <c r="C660" s="114" t="s">
        <v>505</v>
      </c>
      <c r="D660" s="115"/>
      <c r="E660" s="116"/>
      <c r="F660" s="115"/>
      <c r="G660" s="117"/>
      <c r="H660" s="118">
        <v>2</v>
      </c>
      <c r="I660" s="123"/>
      <c r="J660" s="87"/>
      <c r="K660" s="85"/>
    </row>
    <row r="661" spans="1:11" s="16" customFormat="1" ht="10.5" customHeight="1">
      <c r="A661" s="113" t="s">
        <v>965</v>
      </c>
      <c r="B661" s="103" t="s">
        <v>348</v>
      </c>
      <c r="C661" s="114" t="s">
        <v>980</v>
      </c>
      <c r="D661" s="115" t="s">
        <v>981</v>
      </c>
      <c r="E661" s="116">
        <v>5.255</v>
      </c>
      <c r="F661" s="115"/>
      <c r="G661" s="117"/>
      <c r="H661" s="118"/>
      <c r="I661" s="119"/>
      <c r="K661" s="84"/>
    </row>
    <row r="662" spans="1:11" s="16" customFormat="1" ht="10.5" customHeight="1">
      <c r="A662" s="113" t="s">
        <v>965</v>
      </c>
      <c r="B662" s="103" t="s">
        <v>348</v>
      </c>
      <c r="C662" s="114" t="s">
        <v>982</v>
      </c>
      <c r="D662" s="115" t="s">
        <v>897</v>
      </c>
      <c r="E662" s="116">
        <v>8.15</v>
      </c>
      <c r="F662" s="115"/>
      <c r="G662" s="117"/>
      <c r="H662" s="118"/>
      <c r="I662" s="119"/>
      <c r="K662" s="84"/>
    </row>
    <row r="663" spans="1:11" s="16" customFormat="1" ht="10.5" customHeight="1">
      <c r="A663" s="113" t="s">
        <v>965</v>
      </c>
      <c r="B663" s="103" t="s">
        <v>348</v>
      </c>
      <c r="C663" s="114" t="s">
        <v>509</v>
      </c>
      <c r="D663" s="115" t="s">
        <v>983</v>
      </c>
      <c r="E663" s="116">
        <v>1.6</v>
      </c>
      <c r="F663" s="115"/>
      <c r="G663" s="117"/>
      <c r="H663" s="118"/>
      <c r="I663" s="119"/>
      <c r="K663" s="84"/>
    </row>
    <row r="664" spans="1:11" s="16" customFormat="1" ht="10.5" customHeight="1">
      <c r="A664" s="113" t="s">
        <v>965</v>
      </c>
      <c r="B664" s="103" t="s">
        <v>348</v>
      </c>
      <c r="C664" s="114" t="s">
        <v>984</v>
      </c>
      <c r="D664" s="115" t="s">
        <v>985</v>
      </c>
      <c r="E664" s="116">
        <v>0.48</v>
      </c>
      <c r="F664" s="115"/>
      <c r="G664" s="117"/>
      <c r="H664" s="118"/>
      <c r="I664" s="119"/>
      <c r="K664" s="84"/>
    </row>
    <row r="665" spans="1:11" s="16" customFormat="1" ht="10.5" customHeight="1">
      <c r="A665" s="113" t="s">
        <v>965</v>
      </c>
      <c r="B665" s="103" t="s">
        <v>370</v>
      </c>
      <c r="C665" s="114">
        <v>190</v>
      </c>
      <c r="D665" s="115"/>
      <c r="E665" s="116"/>
      <c r="F665" s="115" t="s">
        <v>986</v>
      </c>
      <c r="G665" s="122">
        <v>1.14</v>
      </c>
      <c r="H665" s="118"/>
      <c r="I665" s="119"/>
      <c r="K665" s="84"/>
    </row>
    <row r="666" spans="1:11" s="16" customFormat="1" ht="10.5" customHeight="1">
      <c r="A666" s="113" t="s">
        <v>987</v>
      </c>
      <c r="B666" s="103" t="s">
        <v>348</v>
      </c>
      <c r="C666" s="114">
        <v>70</v>
      </c>
      <c r="D666" s="115"/>
      <c r="E666" s="116"/>
      <c r="F666" s="115"/>
      <c r="G666" s="117"/>
      <c r="H666" s="118">
        <v>2.5</v>
      </c>
      <c r="I666" s="119"/>
      <c r="K666" s="84"/>
    </row>
    <row r="667" spans="1:11" s="16" customFormat="1" ht="10.5" customHeight="1">
      <c r="A667" s="113" t="s">
        <v>987</v>
      </c>
      <c r="B667" s="103" t="s">
        <v>348</v>
      </c>
      <c r="C667" s="114">
        <v>150</v>
      </c>
      <c r="D667" s="115" t="s">
        <v>893</v>
      </c>
      <c r="E667" s="116">
        <f>1.99-1.492</f>
        <v>0.498</v>
      </c>
      <c r="F667" s="115"/>
      <c r="G667" s="117"/>
      <c r="H667" s="118"/>
      <c r="I667" s="119"/>
      <c r="K667" s="84"/>
    </row>
    <row r="668" spans="1:11" s="16" customFormat="1" ht="10.5" customHeight="1">
      <c r="A668" s="113" t="s">
        <v>987</v>
      </c>
      <c r="B668" s="103" t="s">
        <v>348</v>
      </c>
      <c r="C668" s="114">
        <v>210</v>
      </c>
      <c r="D668" s="115"/>
      <c r="E668" s="116"/>
      <c r="F668" s="115"/>
      <c r="G668" s="117"/>
      <c r="H668" s="118">
        <v>0.71</v>
      </c>
      <c r="I668" s="119"/>
      <c r="K668" s="84"/>
    </row>
    <row r="669" spans="1:11" s="16" customFormat="1" ht="10.5" customHeight="1">
      <c r="A669" s="113" t="s">
        <v>988</v>
      </c>
      <c r="B669" s="103" t="s">
        <v>348</v>
      </c>
      <c r="C669" s="114" t="s">
        <v>511</v>
      </c>
      <c r="D669" s="115" t="s">
        <v>763</v>
      </c>
      <c r="E669" s="116">
        <f>2.322-1.344</f>
        <v>0.978</v>
      </c>
      <c r="F669" s="115"/>
      <c r="G669" s="117"/>
      <c r="H669" s="118"/>
      <c r="I669" s="123"/>
      <c r="K669" s="84"/>
    </row>
    <row r="670" spans="1:11" s="16" customFormat="1" ht="10.5" customHeight="1">
      <c r="A670" s="113" t="s">
        <v>988</v>
      </c>
      <c r="B670" s="103" t="s">
        <v>370</v>
      </c>
      <c r="C670" s="114" t="s">
        <v>989</v>
      </c>
      <c r="D670" s="115" t="s">
        <v>830</v>
      </c>
      <c r="E670" s="116">
        <v>0.544</v>
      </c>
      <c r="F670" s="115"/>
      <c r="G670" s="117"/>
      <c r="H670" s="118"/>
      <c r="I670" s="119"/>
      <c r="K670" s="84"/>
    </row>
    <row r="671" spans="1:11" s="16" customFormat="1" ht="10.5" customHeight="1">
      <c r="A671" s="113" t="s">
        <v>988</v>
      </c>
      <c r="B671" s="103" t="s">
        <v>990</v>
      </c>
      <c r="C671" s="114"/>
      <c r="D671" s="115" t="s">
        <v>991</v>
      </c>
      <c r="E671" s="116">
        <v>0.578</v>
      </c>
      <c r="F671" s="115"/>
      <c r="G671" s="117"/>
      <c r="H671" s="118"/>
      <c r="I671" s="119"/>
      <c r="K671" s="84"/>
    </row>
    <row r="672" spans="1:11" s="16" customFormat="1" ht="10.5" customHeight="1">
      <c r="A672" s="113" t="s">
        <v>992</v>
      </c>
      <c r="B672" s="103" t="s">
        <v>348</v>
      </c>
      <c r="C672" s="114">
        <v>45</v>
      </c>
      <c r="D672" s="115" t="s">
        <v>447</v>
      </c>
      <c r="E672" s="116">
        <f>1.28-0.042</f>
        <v>1.238</v>
      </c>
      <c r="F672" s="115"/>
      <c r="G672" s="117"/>
      <c r="H672" s="118"/>
      <c r="I672" s="119"/>
      <c r="K672" s="84"/>
    </row>
    <row r="673" spans="1:11" s="16" customFormat="1" ht="10.5" customHeight="1">
      <c r="A673" s="113" t="s">
        <v>993</v>
      </c>
      <c r="B673" s="103" t="s">
        <v>348</v>
      </c>
      <c r="C673" s="114">
        <v>45</v>
      </c>
      <c r="D673" s="115"/>
      <c r="E673" s="116"/>
      <c r="F673" s="115" t="s">
        <v>994</v>
      </c>
      <c r="G673" s="117">
        <f>8.029-0.063</f>
        <v>7.966</v>
      </c>
      <c r="H673" s="118"/>
      <c r="I673" s="119"/>
      <c r="K673" s="84"/>
    </row>
    <row r="674" spans="1:11" s="16" customFormat="1" ht="10.5" customHeight="1">
      <c r="A674" s="113" t="s">
        <v>993</v>
      </c>
      <c r="B674" s="103" t="s">
        <v>348</v>
      </c>
      <c r="C674" s="114">
        <v>56</v>
      </c>
      <c r="D674" s="115"/>
      <c r="E674" s="116"/>
      <c r="F674" s="115" t="s">
        <v>995</v>
      </c>
      <c r="G674" s="117">
        <f>5.47-0.39</f>
        <v>5.08</v>
      </c>
      <c r="H674" s="118"/>
      <c r="I674" s="119"/>
      <c r="K674" s="84"/>
    </row>
    <row r="675" spans="1:11" s="16" customFormat="1" ht="10.5" customHeight="1">
      <c r="A675" s="113" t="s">
        <v>992</v>
      </c>
      <c r="B675" s="103" t="s">
        <v>348</v>
      </c>
      <c r="C675" s="114">
        <v>60</v>
      </c>
      <c r="D675" s="115"/>
      <c r="E675" s="116">
        <v>0.324</v>
      </c>
      <c r="F675" s="115"/>
      <c r="G675" s="117"/>
      <c r="H675" s="118"/>
      <c r="I675" s="119"/>
      <c r="K675" s="84"/>
    </row>
    <row r="676" spans="1:11" s="16" customFormat="1" ht="10.5" customHeight="1">
      <c r="A676" s="113" t="s">
        <v>993</v>
      </c>
      <c r="B676" s="103" t="s">
        <v>348</v>
      </c>
      <c r="C676" s="114">
        <v>70</v>
      </c>
      <c r="D676" s="115" t="s">
        <v>613</v>
      </c>
      <c r="E676" s="116">
        <f>2.01-0.15</f>
        <v>1.8599999999999999</v>
      </c>
      <c r="F676" s="115" t="s">
        <v>996</v>
      </c>
      <c r="G676" s="117">
        <v>0.39</v>
      </c>
      <c r="H676" s="118"/>
      <c r="I676" s="119"/>
      <c r="K676" s="84"/>
    </row>
    <row r="677" spans="1:11" s="16" customFormat="1" ht="10.5" customHeight="1">
      <c r="A677" s="113" t="s">
        <v>993</v>
      </c>
      <c r="B677" s="103" t="s">
        <v>348</v>
      </c>
      <c r="C677" s="114">
        <v>80</v>
      </c>
      <c r="D677" s="115" t="s">
        <v>467</v>
      </c>
      <c r="E677" s="116">
        <v>0.148</v>
      </c>
      <c r="F677" s="115"/>
      <c r="G677" s="117"/>
      <c r="H677" s="118"/>
      <c r="I677" s="119"/>
      <c r="K677" s="84"/>
    </row>
    <row r="678" spans="1:11" s="16" customFormat="1" ht="10.5" customHeight="1">
      <c r="A678" s="113" t="s">
        <v>993</v>
      </c>
      <c r="B678" s="103" t="s">
        <v>370</v>
      </c>
      <c r="C678" s="114" t="s">
        <v>997</v>
      </c>
      <c r="D678" s="115"/>
      <c r="E678" s="116"/>
      <c r="F678" s="115" t="s">
        <v>998</v>
      </c>
      <c r="G678" s="117">
        <v>0.971</v>
      </c>
      <c r="H678" s="118"/>
      <c r="I678" s="119"/>
      <c r="K678" s="84"/>
    </row>
    <row r="679" spans="1:11" s="16" customFormat="1" ht="10.5" customHeight="1">
      <c r="A679" s="113" t="s">
        <v>993</v>
      </c>
      <c r="B679" s="103" t="s">
        <v>370</v>
      </c>
      <c r="C679" s="114" t="s">
        <v>999</v>
      </c>
      <c r="D679" s="115"/>
      <c r="E679" s="116"/>
      <c r="F679" s="115" t="s">
        <v>1000</v>
      </c>
      <c r="G679" s="117">
        <v>0.396</v>
      </c>
      <c r="H679" s="118"/>
      <c r="I679" s="119"/>
      <c r="K679" s="84"/>
    </row>
    <row r="680" spans="1:11" s="16" customFormat="1" ht="10.5" customHeight="1">
      <c r="A680" s="113" t="s">
        <v>1001</v>
      </c>
      <c r="B680" s="103" t="s">
        <v>348</v>
      </c>
      <c r="C680" s="114">
        <v>68</v>
      </c>
      <c r="D680" s="115" t="s">
        <v>442</v>
      </c>
      <c r="E680" s="116">
        <f>3.736-0.342-0.458-0.016</f>
        <v>2.92</v>
      </c>
      <c r="F680" s="115"/>
      <c r="G680" s="117"/>
      <c r="H680" s="118"/>
      <c r="I680" s="119"/>
      <c r="K680" s="84"/>
    </row>
    <row r="681" spans="1:11" s="16" customFormat="1" ht="10.5" customHeight="1">
      <c r="A681" s="113" t="s">
        <v>1001</v>
      </c>
      <c r="B681" s="103" t="s">
        <v>348</v>
      </c>
      <c r="C681" s="114">
        <v>80</v>
      </c>
      <c r="D681" s="115"/>
      <c r="E681" s="124"/>
      <c r="F681" s="115"/>
      <c r="G681" s="117"/>
      <c r="H681" s="125">
        <v>3.45</v>
      </c>
      <c r="I681" s="119"/>
      <c r="K681" s="85">
        <v>40624</v>
      </c>
    </row>
    <row r="682" spans="1:11" s="16" customFormat="1" ht="10.5" customHeight="1">
      <c r="A682" s="113" t="s">
        <v>1001</v>
      </c>
      <c r="B682" s="103" t="s">
        <v>348</v>
      </c>
      <c r="C682" s="114">
        <v>90</v>
      </c>
      <c r="D682" s="115" t="s">
        <v>1002</v>
      </c>
      <c r="E682" s="124">
        <f>3.13-0.204-0.216-0.21-1.038-0.206</f>
        <v>1.2559999999999996</v>
      </c>
      <c r="F682" s="115"/>
      <c r="G682" s="117"/>
      <c r="H682" s="125"/>
      <c r="I682" s="119"/>
      <c r="K682" s="85"/>
    </row>
    <row r="683" spans="1:11" s="16" customFormat="1" ht="10.5" customHeight="1">
      <c r="A683" s="113" t="s">
        <v>1001</v>
      </c>
      <c r="B683" s="103" t="s">
        <v>348</v>
      </c>
      <c r="C683" s="114">
        <v>100</v>
      </c>
      <c r="D683" s="115"/>
      <c r="E683" s="124"/>
      <c r="F683" s="115"/>
      <c r="G683" s="117"/>
      <c r="H683" s="125">
        <v>3.1</v>
      </c>
      <c r="I683" s="119"/>
      <c r="K683" s="85">
        <v>40624</v>
      </c>
    </row>
    <row r="684" spans="1:11" s="16" customFormat="1" ht="10.5" customHeight="1">
      <c r="A684" s="113" t="s">
        <v>1001</v>
      </c>
      <c r="B684" s="103" t="s">
        <v>348</v>
      </c>
      <c r="C684" s="114">
        <v>110</v>
      </c>
      <c r="D684" s="115" t="s">
        <v>442</v>
      </c>
      <c r="E684" s="124">
        <f>2.45-0.296-0.312</f>
        <v>1.8420000000000003</v>
      </c>
      <c r="F684" s="115"/>
      <c r="G684" s="117"/>
      <c r="H684" s="125"/>
      <c r="I684" s="119"/>
      <c r="K684" s="85"/>
    </row>
    <row r="685" spans="1:11" s="16" customFormat="1" ht="10.5" customHeight="1">
      <c r="A685" s="113" t="s">
        <v>1001</v>
      </c>
      <c r="B685" s="103" t="s">
        <v>348</v>
      </c>
      <c r="C685" s="114">
        <v>150</v>
      </c>
      <c r="D685" s="115" t="s">
        <v>1003</v>
      </c>
      <c r="E685" s="116">
        <f>3.394-0.428-0.826-0.024-0.022-0.166-0.182-0.328-0.454-0.426-0.35</f>
        <v>0.1880000000000005</v>
      </c>
      <c r="F685" s="115" t="s">
        <v>1004</v>
      </c>
      <c r="G685" s="117">
        <v>1.565</v>
      </c>
      <c r="H685" s="125"/>
      <c r="I685" s="119"/>
      <c r="K685" s="85"/>
    </row>
    <row r="686" spans="1:11" s="16" customFormat="1" ht="10.5" customHeight="1">
      <c r="A686" s="113" t="s">
        <v>1001</v>
      </c>
      <c r="B686" s="103" t="s">
        <v>348</v>
      </c>
      <c r="C686" s="114">
        <v>150</v>
      </c>
      <c r="D686" s="115" t="s">
        <v>1005</v>
      </c>
      <c r="E686" s="124">
        <f>4.12-0.224</f>
        <v>3.896</v>
      </c>
      <c r="F686" s="115"/>
      <c r="G686" s="117"/>
      <c r="H686" s="125"/>
      <c r="I686" s="119"/>
      <c r="K686" s="85"/>
    </row>
    <row r="687" spans="1:11" s="16" customFormat="1" ht="10.5" customHeight="1">
      <c r="A687" s="113" t="s">
        <v>1001</v>
      </c>
      <c r="B687" s="103" t="s">
        <v>348</v>
      </c>
      <c r="C687" s="114">
        <v>160</v>
      </c>
      <c r="D687" s="115" t="s">
        <v>1006</v>
      </c>
      <c r="E687" s="124">
        <f>2.18-0.504-0.856+4.19</f>
        <v>5.010000000000001</v>
      </c>
      <c r="F687" s="115"/>
      <c r="G687" s="117"/>
      <c r="H687" s="125"/>
      <c r="I687" s="119"/>
      <c r="K687" s="85"/>
    </row>
    <row r="688" spans="1:11" s="16" customFormat="1" ht="10.5" customHeight="1">
      <c r="A688" s="113" t="s">
        <v>1001</v>
      </c>
      <c r="B688" s="103" t="s">
        <v>348</v>
      </c>
      <c r="C688" s="114" t="s">
        <v>1007</v>
      </c>
      <c r="D688" s="115" t="s">
        <v>1008</v>
      </c>
      <c r="E688" s="116">
        <f>2.34-1.154</f>
        <v>1.186</v>
      </c>
      <c r="F688" s="115"/>
      <c r="G688" s="117"/>
      <c r="H688" s="125"/>
      <c r="I688" s="119"/>
      <c r="K688" s="85"/>
    </row>
    <row r="689" spans="1:11" s="16" customFormat="1" ht="10.5" customHeight="1">
      <c r="A689" s="113" t="s">
        <v>1001</v>
      </c>
      <c r="B689" s="103" t="s">
        <v>348</v>
      </c>
      <c r="C689" s="114">
        <v>180</v>
      </c>
      <c r="D689" s="115" t="s">
        <v>1009</v>
      </c>
      <c r="E689" s="116">
        <f>0.08+0.096+0.134+0.166+0.17+0.172+0.23-0.172-0.096-0.08-0.17</f>
        <v>0.5300000000000001</v>
      </c>
      <c r="F689" s="115"/>
      <c r="G689" s="117"/>
      <c r="H689" s="118"/>
      <c r="I689" s="119"/>
      <c r="K689" s="84"/>
    </row>
    <row r="690" spans="1:11" s="16" customFormat="1" ht="10.5" customHeight="1">
      <c r="A690" s="113" t="s">
        <v>1001</v>
      </c>
      <c r="B690" s="103" t="s">
        <v>348</v>
      </c>
      <c r="C690" s="114">
        <v>180</v>
      </c>
      <c r="D690" s="115" t="s">
        <v>1010</v>
      </c>
      <c r="E690" s="116">
        <v>5.73</v>
      </c>
      <c r="F690" s="115"/>
      <c r="G690" s="117"/>
      <c r="H690" s="118"/>
      <c r="I690" s="119"/>
      <c r="K690" s="84"/>
    </row>
    <row r="691" spans="1:11" s="16" customFormat="1" ht="10.5" customHeight="1">
      <c r="A691" s="113" t="s">
        <v>1001</v>
      </c>
      <c r="B691" s="103" t="s">
        <v>348</v>
      </c>
      <c r="C691" s="114">
        <v>250</v>
      </c>
      <c r="D691" s="115"/>
      <c r="E691" s="116">
        <v>0.232</v>
      </c>
      <c r="F691" s="115"/>
      <c r="G691" s="117"/>
      <c r="H691" s="118"/>
      <c r="I691" s="119"/>
      <c r="K691" s="84"/>
    </row>
    <row r="692" spans="1:11" s="16" customFormat="1" ht="10.5" customHeight="1">
      <c r="A692" s="113" t="s">
        <v>1001</v>
      </c>
      <c r="B692" s="103" t="s">
        <v>348</v>
      </c>
      <c r="C692" s="114" t="s">
        <v>1011</v>
      </c>
      <c r="D692" s="115"/>
      <c r="E692" s="116">
        <v>2.5</v>
      </c>
      <c r="F692" s="115"/>
      <c r="G692" s="117"/>
      <c r="H692" s="118"/>
      <c r="I692" s="119"/>
      <c r="K692" s="84"/>
    </row>
    <row r="693" spans="1:11" s="16" customFormat="1" ht="10.5" customHeight="1">
      <c r="A693" s="113" t="s">
        <v>1001</v>
      </c>
      <c r="B693" s="103" t="s">
        <v>348</v>
      </c>
      <c r="C693" s="114" t="s">
        <v>1012</v>
      </c>
      <c r="D693" s="115"/>
      <c r="E693" s="116">
        <v>5</v>
      </c>
      <c r="F693" s="115"/>
      <c r="G693" s="117"/>
      <c r="H693" s="118"/>
      <c r="I693" s="119"/>
      <c r="K693" s="84"/>
    </row>
    <row r="694" spans="1:11" s="16" customFormat="1" ht="10.5" customHeight="1">
      <c r="A694" s="113" t="s">
        <v>1001</v>
      </c>
      <c r="B694" s="103" t="s">
        <v>348</v>
      </c>
      <c r="C694" s="114" t="s">
        <v>1013</v>
      </c>
      <c r="D694" s="115" t="s">
        <v>1014</v>
      </c>
      <c r="E694" s="116">
        <v>0.15</v>
      </c>
      <c r="F694" s="115"/>
      <c r="G694" s="117"/>
      <c r="H694" s="118"/>
      <c r="I694" s="119"/>
      <c r="K694" s="84"/>
    </row>
    <row r="695" spans="1:11" s="16" customFormat="1" ht="10.5" customHeight="1">
      <c r="A695" s="113" t="s">
        <v>1001</v>
      </c>
      <c r="B695" s="103" t="s">
        <v>348</v>
      </c>
      <c r="C695" s="114" t="s">
        <v>799</v>
      </c>
      <c r="D695" s="115" t="s">
        <v>588</v>
      </c>
      <c r="E695" s="116">
        <v>2.53</v>
      </c>
      <c r="F695" s="115"/>
      <c r="G695" s="117"/>
      <c r="H695" s="118"/>
      <c r="I695" s="119"/>
      <c r="K695" s="84"/>
    </row>
    <row r="696" spans="1:11" s="16" customFormat="1" ht="10.5" customHeight="1">
      <c r="A696" s="113" t="s">
        <v>1001</v>
      </c>
      <c r="B696" s="103" t="s">
        <v>348</v>
      </c>
      <c r="C696" s="114" t="s">
        <v>980</v>
      </c>
      <c r="D696" s="115" t="s">
        <v>636</v>
      </c>
      <c r="E696" s="116">
        <v>5</v>
      </c>
      <c r="F696" s="115"/>
      <c r="G696" s="117"/>
      <c r="H696" s="118"/>
      <c r="I696" s="119"/>
      <c r="K696" s="84"/>
    </row>
    <row r="697" spans="1:11" s="16" customFormat="1" ht="10.5" customHeight="1">
      <c r="A697" s="113" t="s">
        <v>1001</v>
      </c>
      <c r="B697" s="103" t="s">
        <v>348</v>
      </c>
      <c r="C697" s="114" t="s">
        <v>982</v>
      </c>
      <c r="D697" s="115" t="s">
        <v>1002</v>
      </c>
      <c r="E697" s="116">
        <v>5.33</v>
      </c>
      <c r="F697" s="115"/>
      <c r="G697" s="117"/>
      <c r="H697" s="118"/>
      <c r="I697" s="119"/>
      <c r="K697" s="84"/>
    </row>
    <row r="698" spans="1:11" s="16" customFormat="1" ht="10.5" customHeight="1">
      <c r="A698" s="113" t="s">
        <v>1001</v>
      </c>
      <c r="B698" s="103" t="s">
        <v>348</v>
      </c>
      <c r="C698" s="114" t="s">
        <v>1015</v>
      </c>
      <c r="D698" s="115" t="s">
        <v>442</v>
      </c>
      <c r="E698" s="116">
        <v>5.27</v>
      </c>
      <c r="F698" s="115"/>
      <c r="G698" s="117"/>
      <c r="H698" s="118"/>
      <c r="I698" s="119"/>
      <c r="K698" s="84"/>
    </row>
    <row r="699" spans="1:11" s="16" customFormat="1" ht="10.5" customHeight="1">
      <c r="A699" s="113" t="s">
        <v>1016</v>
      </c>
      <c r="B699" s="103" t="s">
        <v>370</v>
      </c>
      <c r="C699" s="114">
        <v>140</v>
      </c>
      <c r="D699" s="115"/>
      <c r="E699" s="116"/>
      <c r="F699" s="115"/>
      <c r="G699" s="117"/>
      <c r="H699" s="118">
        <v>10</v>
      </c>
      <c r="I699" s="119"/>
      <c r="K699" s="84"/>
    </row>
    <row r="700" spans="1:11" s="16" customFormat="1" ht="10.5" customHeight="1">
      <c r="A700" s="113" t="s">
        <v>1017</v>
      </c>
      <c r="B700" s="103" t="s">
        <v>399</v>
      </c>
      <c r="C700" s="114" t="s">
        <v>1018</v>
      </c>
      <c r="D700" s="115"/>
      <c r="E700" s="116"/>
      <c r="F700" s="115" t="s">
        <v>519</v>
      </c>
      <c r="G700" s="117">
        <v>3</v>
      </c>
      <c r="H700" s="118"/>
      <c r="I700" s="119"/>
      <c r="K700" s="84"/>
    </row>
    <row r="701" spans="1:11" s="16" customFormat="1" ht="10.5" customHeight="1">
      <c r="A701" s="113" t="s">
        <v>1017</v>
      </c>
      <c r="B701" s="103" t="s">
        <v>399</v>
      </c>
      <c r="C701" s="114" t="s">
        <v>1019</v>
      </c>
      <c r="D701" s="115"/>
      <c r="E701" s="116"/>
      <c r="F701" s="115" t="s">
        <v>519</v>
      </c>
      <c r="G701" s="117">
        <v>3.1</v>
      </c>
      <c r="H701" s="118"/>
      <c r="I701" s="119"/>
      <c r="K701" s="84"/>
    </row>
    <row r="702" spans="1:11" s="16" customFormat="1" ht="13.5" customHeight="1">
      <c r="A702" s="128"/>
      <c r="B702" s="109"/>
      <c r="C702" s="129" t="s">
        <v>1020</v>
      </c>
      <c r="D702" s="109"/>
      <c r="E702" s="106"/>
      <c r="F702" s="109"/>
      <c r="G702" s="112"/>
      <c r="H702" s="107"/>
      <c r="I702" s="108"/>
      <c r="K702" s="84"/>
    </row>
    <row r="703" spans="1:11" s="16" customFormat="1" ht="10.5" customHeight="1">
      <c r="A703" s="113" t="s">
        <v>1021</v>
      </c>
      <c r="B703" s="103" t="s">
        <v>348</v>
      </c>
      <c r="C703" s="114">
        <v>50</v>
      </c>
      <c r="D703" s="115" t="s">
        <v>1022</v>
      </c>
      <c r="E703" s="116">
        <f>1.85-0.504-0.052-0.21-0.108-0.49</f>
        <v>0.4860000000000001</v>
      </c>
      <c r="F703" s="115"/>
      <c r="G703" s="122">
        <v>0.49</v>
      </c>
      <c r="H703" s="118"/>
      <c r="I703" s="119"/>
      <c r="K703" s="84"/>
    </row>
    <row r="704" spans="1:11" s="16" customFormat="1" ht="10.5" customHeight="1">
      <c r="A704" s="113" t="s">
        <v>1023</v>
      </c>
      <c r="B704" s="103" t="s">
        <v>348</v>
      </c>
      <c r="C704" s="114">
        <v>28</v>
      </c>
      <c r="D704" s="115"/>
      <c r="E704" s="116"/>
      <c r="F704" s="115" t="s">
        <v>1024</v>
      </c>
      <c r="G704" s="117">
        <v>0.178</v>
      </c>
      <c r="H704" s="118"/>
      <c r="I704" s="119"/>
      <c r="K704" s="84"/>
    </row>
    <row r="705" spans="1:11" s="16" customFormat="1" ht="10.5" customHeight="1">
      <c r="A705" s="113" t="s">
        <v>1023</v>
      </c>
      <c r="B705" s="103" t="s">
        <v>348</v>
      </c>
      <c r="C705" s="114">
        <v>40</v>
      </c>
      <c r="D705" s="115"/>
      <c r="E705" s="116"/>
      <c r="F705" s="115" t="s">
        <v>481</v>
      </c>
      <c r="G705" s="117">
        <f>0.948-0.13-0.136-0.136-0.135-0.09-0.05</f>
        <v>0.27099999999999996</v>
      </c>
      <c r="H705" s="118"/>
      <c r="I705" s="119"/>
      <c r="K705" s="84"/>
    </row>
    <row r="706" spans="1:11" s="16" customFormat="1" ht="10.5" customHeight="1">
      <c r="A706" s="113" t="s">
        <v>1025</v>
      </c>
      <c r="B706" s="103" t="s">
        <v>348</v>
      </c>
      <c r="C706" s="114" t="s">
        <v>1026</v>
      </c>
      <c r="D706" s="115"/>
      <c r="E706" s="116"/>
      <c r="F706" s="115" t="s">
        <v>865</v>
      </c>
      <c r="G706" s="117">
        <f>12.599-0.149-0.017-0.052-0.101-0.02</f>
        <v>12.260000000000002</v>
      </c>
      <c r="H706" s="118"/>
      <c r="I706" s="119"/>
      <c r="K706" s="84"/>
    </row>
    <row r="707" spans="1:11" s="16" customFormat="1" ht="10.5" customHeight="1">
      <c r="A707" s="113" t="s">
        <v>1025</v>
      </c>
      <c r="B707" s="103" t="s">
        <v>348</v>
      </c>
      <c r="C707" s="114">
        <v>26</v>
      </c>
      <c r="D707" s="115"/>
      <c r="E707" s="116"/>
      <c r="F707" s="115"/>
      <c r="G707" s="117"/>
      <c r="H707" s="118">
        <v>1.24</v>
      </c>
      <c r="I707" s="119"/>
      <c r="K707" s="84"/>
    </row>
    <row r="708" spans="1:11" s="16" customFormat="1" ht="10.5" customHeight="1">
      <c r="A708" s="113" t="s">
        <v>1025</v>
      </c>
      <c r="B708" s="103" t="s">
        <v>348</v>
      </c>
      <c r="C708" s="114">
        <v>35</v>
      </c>
      <c r="D708" s="115" t="s">
        <v>459</v>
      </c>
      <c r="E708" s="116">
        <f>1.4-0.07-0.008+2.4-0.15-1.278-0.736</f>
        <v>1.5579999999999996</v>
      </c>
      <c r="F708" s="115"/>
      <c r="G708" s="117"/>
      <c r="H708" s="118"/>
      <c r="I708" s="119"/>
      <c r="K708" s="84"/>
    </row>
    <row r="709" spans="1:11" s="16" customFormat="1" ht="10.5" customHeight="1">
      <c r="A709" s="113" t="s">
        <v>1025</v>
      </c>
      <c r="B709" s="103" t="s">
        <v>348</v>
      </c>
      <c r="C709" s="114">
        <v>36</v>
      </c>
      <c r="D709" s="115"/>
      <c r="E709" s="116"/>
      <c r="F709" s="115"/>
      <c r="G709" s="117"/>
      <c r="H709" s="118">
        <v>2.1</v>
      </c>
      <c r="I709" s="119"/>
      <c r="K709" s="84"/>
    </row>
    <row r="710" spans="1:11" s="16" customFormat="1" ht="10.5" customHeight="1">
      <c r="A710" s="113" t="s">
        <v>1025</v>
      </c>
      <c r="B710" s="103" t="s">
        <v>348</v>
      </c>
      <c r="C710" s="114">
        <v>38</v>
      </c>
      <c r="D710" s="115"/>
      <c r="E710" s="116"/>
      <c r="F710" s="115"/>
      <c r="G710" s="117"/>
      <c r="H710" s="118">
        <v>1.2</v>
      </c>
      <c r="I710" s="119"/>
      <c r="K710" s="84"/>
    </row>
    <row r="711" spans="1:11" s="16" customFormat="1" ht="10.5" customHeight="1">
      <c r="A711" s="113" t="s">
        <v>1025</v>
      </c>
      <c r="B711" s="103" t="s">
        <v>348</v>
      </c>
      <c r="C711" s="114">
        <v>40</v>
      </c>
      <c r="D711" s="115"/>
      <c r="E711" s="116">
        <f>2.26-0.216</f>
        <v>2.0439999999999996</v>
      </c>
      <c r="F711" s="115"/>
      <c r="G711" s="117"/>
      <c r="H711" s="118"/>
      <c r="I711" s="119"/>
      <c r="K711" s="84"/>
    </row>
    <row r="712" spans="1:11" s="16" customFormat="1" ht="10.5" customHeight="1">
      <c r="A712" s="113" t="s">
        <v>1025</v>
      </c>
      <c r="B712" s="103" t="s">
        <v>348</v>
      </c>
      <c r="C712" s="114" t="s">
        <v>1027</v>
      </c>
      <c r="D712" s="115" t="s">
        <v>442</v>
      </c>
      <c r="E712" s="116">
        <f>2.94-1.524-1.036+3.72</f>
        <v>4.1</v>
      </c>
      <c r="F712" s="115"/>
      <c r="G712" s="117"/>
      <c r="H712" s="118"/>
      <c r="I712" s="119"/>
      <c r="K712" s="84"/>
    </row>
    <row r="713" spans="1:11" s="16" customFormat="1" ht="10.5" customHeight="1">
      <c r="A713" s="113" t="s">
        <v>1025</v>
      </c>
      <c r="B713" s="103" t="s">
        <v>348</v>
      </c>
      <c r="C713" s="114">
        <v>100</v>
      </c>
      <c r="D713" s="115"/>
      <c r="E713" s="116"/>
      <c r="F713" s="115"/>
      <c r="G713" s="117"/>
      <c r="H713" s="118">
        <v>0.59</v>
      </c>
      <c r="I713" s="119"/>
      <c r="K713" s="84"/>
    </row>
    <row r="714" spans="1:11" s="16" customFormat="1" ht="10.5" customHeight="1">
      <c r="A714" s="113" t="s">
        <v>1025</v>
      </c>
      <c r="B714" s="103" t="s">
        <v>348</v>
      </c>
      <c r="C714" s="114">
        <v>140</v>
      </c>
      <c r="D714" s="115"/>
      <c r="E714" s="116"/>
      <c r="F714" s="115"/>
      <c r="G714" s="117"/>
      <c r="H714" s="118">
        <v>0.84</v>
      </c>
      <c r="I714" s="119"/>
      <c r="K714" s="84"/>
    </row>
    <row r="715" spans="1:11" s="16" customFormat="1" ht="10.5" customHeight="1">
      <c r="A715" s="113" t="s">
        <v>1025</v>
      </c>
      <c r="B715" s="103" t="s">
        <v>348</v>
      </c>
      <c r="C715" s="114">
        <v>180</v>
      </c>
      <c r="D715" s="115"/>
      <c r="E715" s="116"/>
      <c r="F715" s="115"/>
      <c r="G715" s="117"/>
      <c r="H715" s="118">
        <v>2.77</v>
      </c>
      <c r="I715" s="119"/>
      <c r="K715" s="84"/>
    </row>
    <row r="716" spans="1:11" s="16" customFormat="1" ht="10.5" customHeight="1">
      <c r="A716" s="113" t="s">
        <v>1025</v>
      </c>
      <c r="B716" s="103" t="s">
        <v>348</v>
      </c>
      <c r="C716" s="114">
        <v>280</v>
      </c>
      <c r="D716" s="115"/>
      <c r="E716" s="116"/>
      <c r="F716" s="115"/>
      <c r="G716" s="117"/>
      <c r="H716" s="118">
        <v>1.99</v>
      </c>
      <c r="I716" s="119"/>
      <c r="K716" s="84"/>
    </row>
    <row r="717" spans="1:11" s="16" customFormat="1" ht="10.5" customHeight="1">
      <c r="A717" s="113" t="s">
        <v>1028</v>
      </c>
      <c r="B717" s="103" t="s">
        <v>348</v>
      </c>
      <c r="C717" s="114">
        <v>24</v>
      </c>
      <c r="D717" s="115" t="s">
        <v>655</v>
      </c>
      <c r="E717" s="116">
        <f>3.964-1-1.004-0.078</f>
        <v>1.882</v>
      </c>
      <c r="F717" s="115"/>
      <c r="G717" s="117"/>
      <c r="H717" s="118"/>
      <c r="I717" s="119"/>
      <c r="K717" s="84"/>
    </row>
    <row r="718" spans="1:11" s="16" customFormat="1" ht="10.5" customHeight="1">
      <c r="A718" s="113" t="s">
        <v>1029</v>
      </c>
      <c r="B718" s="103" t="s">
        <v>348</v>
      </c>
      <c r="C718" s="114">
        <v>20</v>
      </c>
      <c r="D718" s="115"/>
      <c r="E718" s="116"/>
      <c r="F718" s="115"/>
      <c r="G718" s="117"/>
      <c r="H718" s="118">
        <v>2.09</v>
      </c>
      <c r="I718" s="123"/>
      <c r="K718" s="84"/>
    </row>
    <row r="719" spans="1:11" s="16" customFormat="1" ht="10.5" customHeight="1">
      <c r="A719" s="113" t="s">
        <v>1029</v>
      </c>
      <c r="B719" s="103" t="s">
        <v>348</v>
      </c>
      <c r="C719" s="114">
        <v>100</v>
      </c>
      <c r="D719" s="115"/>
      <c r="E719" s="116"/>
      <c r="F719" s="115" t="s">
        <v>1030</v>
      </c>
      <c r="G719" s="117">
        <f>4.113-0.02-0.242-0.224-0.062</f>
        <v>3.565000000000001</v>
      </c>
      <c r="H719" s="121"/>
      <c r="I719" s="119"/>
      <c r="K719" s="84"/>
    </row>
    <row r="720" spans="1:11" s="16" customFormat="1" ht="10.5" customHeight="1">
      <c r="A720" s="113" t="s">
        <v>1029</v>
      </c>
      <c r="B720" s="103" t="s">
        <v>348</v>
      </c>
      <c r="C720" s="114">
        <v>120</v>
      </c>
      <c r="D720" s="115" t="s">
        <v>1031</v>
      </c>
      <c r="E720" s="116">
        <f>0.352-0.124+4.67-3.27-0.468</f>
        <v>1.1599999999999997</v>
      </c>
      <c r="F720" s="115"/>
      <c r="G720" s="117"/>
      <c r="H720" s="121">
        <v>2.4</v>
      </c>
      <c r="I720" s="123"/>
      <c r="K720" s="84"/>
    </row>
    <row r="721" spans="1:11" s="16" customFormat="1" ht="10.5" customHeight="1">
      <c r="A721" s="113" t="s">
        <v>1029</v>
      </c>
      <c r="B721" s="103" t="s">
        <v>348</v>
      </c>
      <c r="C721" s="114" t="s">
        <v>415</v>
      </c>
      <c r="D721" s="115"/>
      <c r="E721" s="120">
        <v>3.125</v>
      </c>
      <c r="F721" s="115"/>
      <c r="G721" s="117"/>
      <c r="H721" s="121"/>
      <c r="I721" s="119"/>
      <c r="K721" s="84"/>
    </row>
    <row r="722" spans="1:11" s="16" customFormat="1" ht="10.5" customHeight="1">
      <c r="A722" s="113" t="s">
        <v>1029</v>
      </c>
      <c r="B722" s="103" t="s">
        <v>348</v>
      </c>
      <c r="C722" s="114">
        <v>140</v>
      </c>
      <c r="D722" s="115" t="s">
        <v>1032</v>
      </c>
      <c r="E722" s="124">
        <f>2.79-1.402-0.46</f>
        <v>0.9280000000000002</v>
      </c>
      <c r="F722" s="115"/>
      <c r="G722" s="117"/>
      <c r="H722" s="121"/>
      <c r="I722" s="119"/>
      <c r="K722" s="84"/>
    </row>
    <row r="723" spans="1:11" s="16" customFormat="1" ht="10.5" customHeight="1">
      <c r="A723" s="113" t="s">
        <v>1029</v>
      </c>
      <c r="B723" s="103" t="s">
        <v>348</v>
      </c>
      <c r="C723" s="114">
        <v>150</v>
      </c>
      <c r="D723" s="115" t="s">
        <v>504</v>
      </c>
      <c r="E723" s="124">
        <f>0.91-0.07</f>
        <v>0.8400000000000001</v>
      </c>
      <c r="F723" s="115"/>
      <c r="G723" s="117"/>
      <c r="H723" s="118">
        <v>3.43</v>
      </c>
      <c r="I723" s="119"/>
      <c r="K723" s="84"/>
    </row>
    <row r="724" spans="1:11" s="16" customFormat="1" ht="10.5" customHeight="1">
      <c r="A724" s="113" t="s">
        <v>1029</v>
      </c>
      <c r="B724" s="103" t="s">
        <v>348</v>
      </c>
      <c r="C724" s="114">
        <v>160</v>
      </c>
      <c r="D724" s="115" t="s">
        <v>1033</v>
      </c>
      <c r="E724" s="116">
        <f>1.2+0.59-0.59-0.042-0.036-0.05</f>
        <v>1.072</v>
      </c>
      <c r="F724" s="115"/>
      <c r="G724" s="117"/>
      <c r="H724" s="121"/>
      <c r="I724" s="119"/>
      <c r="K724" s="84"/>
    </row>
    <row r="725" spans="1:11" s="16" customFormat="1" ht="10.5" customHeight="1">
      <c r="A725" s="113" t="s">
        <v>1029</v>
      </c>
      <c r="B725" s="103" t="s">
        <v>348</v>
      </c>
      <c r="C725" s="114">
        <v>180</v>
      </c>
      <c r="D725" s="115"/>
      <c r="E725" s="116"/>
      <c r="F725" s="115"/>
      <c r="G725" s="117"/>
      <c r="H725" s="125">
        <v>4</v>
      </c>
      <c r="I725" s="119"/>
      <c r="K725" s="85">
        <v>40624</v>
      </c>
    </row>
    <row r="726" spans="1:11" s="16" customFormat="1" ht="10.5" customHeight="1">
      <c r="A726" s="113" t="s">
        <v>1029</v>
      </c>
      <c r="B726" s="103" t="s">
        <v>348</v>
      </c>
      <c r="C726" s="114">
        <v>200</v>
      </c>
      <c r="D726" s="115" t="s">
        <v>1034</v>
      </c>
      <c r="E726" s="116">
        <f>2.43-0.124-0.198-0.806</f>
        <v>1.302</v>
      </c>
      <c r="F726" s="115"/>
      <c r="G726" s="117"/>
      <c r="H726" s="118">
        <v>0.68</v>
      </c>
      <c r="I726" s="123"/>
      <c r="K726" s="84"/>
    </row>
    <row r="727" spans="1:11" s="16" customFormat="1" ht="10.5" customHeight="1">
      <c r="A727" s="113" t="s">
        <v>1029</v>
      </c>
      <c r="B727" s="103" t="s">
        <v>348</v>
      </c>
      <c r="C727" s="114">
        <v>230</v>
      </c>
      <c r="D727" s="115" t="s">
        <v>1035</v>
      </c>
      <c r="E727" s="116">
        <f>3.83-0.96-0.174</f>
        <v>2.696</v>
      </c>
      <c r="F727" s="115"/>
      <c r="G727" s="117"/>
      <c r="H727" s="118"/>
      <c r="I727" s="119"/>
      <c r="K727" s="84"/>
    </row>
    <row r="728" spans="1:11" s="16" customFormat="1" ht="10.5" customHeight="1">
      <c r="A728" s="113" t="s">
        <v>1029</v>
      </c>
      <c r="B728" s="103" t="s">
        <v>348</v>
      </c>
      <c r="C728" s="114">
        <v>240</v>
      </c>
      <c r="D728" s="115"/>
      <c r="E728" s="116"/>
      <c r="F728" s="115"/>
      <c r="G728" s="117"/>
      <c r="H728" s="118">
        <v>1.19</v>
      </c>
      <c r="I728" s="119"/>
      <c r="K728" s="84"/>
    </row>
    <row r="729" spans="1:11" s="16" customFormat="1" ht="10.5" customHeight="1">
      <c r="A729" s="113" t="s">
        <v>1029</v>
      </c>
      <c r="B729" s="103" t="s">
        <v>348</v>
      </c>
      <c r="C729" s="114">
        <v>250</v>
      </c>
      <c r="D729" s="115" t="s">
        <v>1036</v>
      </c>
      <c r="E729" s="116">
        <v>3.33</v>
      </c>
      <c r="F729" s="115"/>
      <c r="G729" s="117"/>
      <c r="H729" s="118">
        <v>3.37</v>
      </c>
      <c r="I729" s="119"/>
      <c r="K729" s="84"/>
    </row>
    <row r="730" spans="1:11" s="16" customFormat="1" ht="10.5" customHeight="1">
      <c r="A730" s="113" t="s">
        <v>1029</v>
      </c>
      <c r="B730" s="103" t="s">
        <v>348</v>
      </c>
      <c r="C730" s="114">
        <v>260</v>
      </c>
      <c r="D730" s="115"/>
      <c r="E730" s="116">
        <f>3.49-0.254-1.688-0.71-0.514-0.192-0.07</f>
        <v>0.06200000000000028</v>
      </c>
      <c r="F730" s="115"/>
      <c r="G730" s="117"/>
      <c r="H730" s="118"/>
      <c r="I730" s="119"/>
      <c r="K730" s="84"/>
    </row>
    <row r="731" spans="1:11" s="16" customFormat="1" ht="10.5" customHeight="1">
      <c r="A731" s="113" t="s">
        <v>1029</v>
      </c>
      <c r="B731" s="103" t="s">
        <v>348</v>
      </c>
      <c r="C731" s="114">
        <v>280</v>
      </c>
      <c r="D731" s="115" t="s">
        <v>949</v>
      </c>
      <c r="E731" s="116">
        <f>4.64-1.572</f>
        <v>3.0679999999999996</v>
      </c>
      <c r="F731" s="115"/>
      <c r="G731" s="117"/>
      <c r="H731" s="118"/>
      <c r="I731" s="123"/>
      <c r="K731" s="84"/>
    </row>
    <row r="732" spans="1:11" s="16" customFormat="1" ht="10.5" customHeight="1">
      <c r="A732" s="113" t="s">
        <v>1037</v>
      </c>
      <c r="B732" s="103" t="s">
        <v>370</v>
      </c>
      <c r="C732" s="114" t="s">
        <v>1038</v>
      </c>
      <c r="D732" s="115"/>
      <c r="E732" s="116"/>
      <c r="F732" s="115"/>
      <c r="G732" s="117">
        <v>0.777</v>
      </c>
      <c r="H732" s="118"/>
      <c r="I732" s="119"/>
      <c r="K732" s="84"/>
    </row>
    <row r="733" spans="1:11" s="16" customFormat="1" ht="10.5" customHeight="1">
      <c r="A733" s="113" t="s">
        <v>1037</v>
      </c>
      <c r="B733" s="103" t="s">
        <v>370</v>
      </c>
      <c r="C733" s="114" t="s">
        <v>1039</v>
      </c>
      <c r="D733" s="115"/>
      <c r="E733" s="116"/>
      <c r="F733" s="115"/>
      <c r="G733" s="117">
        <v>6.92</v>
      </c>
      <c r="H733" s="118"/>
      <c r="I733" s="119"/>
      <c r="K733" s="84"/>
    </row>
    <row r="734" spans="1:11" s="16" customFormat="1" ht="10.5" customHeight="1">
      <c r="A734" s="113" t="s">
        <v>1040</v>
      </c>
      <c r="B734" s="103" t="s">
        <v>348</v>
      </c>
      <c r="C734" s="114">
        <v>80</v>
      </c>
      <c r="D734" s="115" t="s">
        <v>459</v>
      </c>
      <c r="E734" s="116">
        <f>3.828-0.486</f>
        <v>3.3419999999999996</v>
      </c>
      <c r="F734" s="115"/>
      <c r="G734" s="117"/>
      <c r="H734" s="118"/>
      <c r="I734" s="119"/>
      <c r="K734" s="84"/>
    </row>
    <row r="735" spans="1:11" s="16" customFormat="1" ht="13.5" customHeight="1">
      <c r="A735" s="128"/>
      <c r="B735" s="109"/>
      <c r="C735" s="129" t="s">
        <v>1041</v>
      </c>
      <c r="D735" s="109"/>
      <c r="E735" s="106"/>
      <c r="F735" s="109"/>
      <c r="G735" s="112"/>
      <c r="H735" s="107"/>
      <c r="I735" s="108"/>
      <c r="K735" s="84"/>
    </row>
    <row r="736" spans="1:11" s="16" customFormat="1" ht="10.5" customHeight="1">
      <c r="A736" s="113" t="s">
        <v>1042</v>
      </c>
      <c r="B736" s="103" t="s">
        <v>348</v>
      </c>
      <c r="C736" s="114" t="s">
        <v>1043</v>
      </c>
      <c r="D736" s="115"/>
      <c r="E736" s="116"/>
      <c r="F736" s="115"/>
      <c r="G736" s="117"/>
      <c r="H736" s="118">
        <v>2.07</v>
      </c>
      <c r="I736" s="119"/>
      <c r="K736" s="84"/>
    </row>
    <row r="737" spans="1:11" s="16" customFormat="1" ht="10.5" customHeight="1">
      <c r="A737" s="113" t="s">
        <v>1044</v>
      </c>
      <c r="B737" s="103" t="s">
        <v>348</v>
      </c>
      <c r="C737" s="114" t="s">
        <v>643</v>
      </c>
      <c r="D737" s="115" t="s">
        <v>862</v>
      </c>
      <c r="E737" s="124">
        <f>1.21-0.034-0.016-0.034</f>
        <v>1.126</v>
      </c>
      <c r="F737" s="115"/>
      <c r="G737" s="117"/>
      <c r="H737" s="118"/>
      <c r="I737" s="123"/>
      <c r="K737" s="84"/>
    </row>
    <row r="738" spans="1:11" s="16" customFormat="1" ht="10.5" customHeight="1">
      <c r="A738" s="113" t="s">
        <v>1045</v>
      </c>
      <c r="B738" s="103" t="s">
        <v>348</v>
      </c>
      <c r="C738" s="114" t="s">
        <v>1046</v>
      </c>
      <c r="D738" s="115"/>
      <c r="E738" s="116"/>
      <c r="F738" s="115"/>
      <c r="G738" s="117"/>
      <c r="H738" s="118">
        <v>1.15</v>
      </c>
      <c r="I738" s="119"/>
      <c r="K738" s="84"/>
    </row>
    <row r="739" spans="1:11" s="16" customFormat="1" ht="10.5" customHeight="1">
      <c r="A739" s="113" t="s">
        <v>1045</v>
      </c>
      <c r="B739" s="103" t="s">
        <v>348</v>
      </c>
      <c r="C739" s="114" t="s">
        <v>1047</v>
      </c>
      <c r="D739" s="115"/>
      <c r="E739" s="116"/>
      <c r="F739" s="115"/>
      <c r="G739" s="117"/>
      <c r="H739" s="118">
        <v>3.29</v>
      </c>
      <c r="I739" s="119"/>
      <c r="K739" s="84"/>
    </row>
    <row r="740" spans="1:11" s="16" customFormat="1" ht="10.5" customHeight="1">
      <c r="A740" s="113" t="s">
        <v>1042</v>
      </c>
      <c r="B740" s="103" t="s">
        <v>348</v>
      </c>
      <c r="C740" s="114" t="s">
        <v>648</v>
      </c>
      <c r="D740" s="115" t="s">
        <v>414</v>
      </c>
      <c r="E740" s="116">
        <f>2.84-0.015-0.222-0.078-0.5-0.092</f>
        <v>1.9329999999999998</v>
      </c>
      <c r="F740" s="115"/>
      <c r="G740" s="117"/>
      <c r="H740" s="118"/>
      <c r="I740" s="119">
        <f>1</f>
        <v>1</v>
      </c>
      <c r="K740" s="84"/>
    </row>
    <row r="741" spans="1:11" s="16" customFormat="1" ht="10.5" customHeight="1">
      <c r="A741" s="113" t="s">
        <v>1042</v>
      </c>
      <c r="B741" s="103" t="s">
        <v>348</v>
      </c>
      <c r="C741" s="114">
        <v>45</v>
      </c>
      <c r="D741" s="115"/>
      <c r="E741" s="116"/>
      <c r="F741" s="115"/>
      <c r="G741" s="117"/>
      <c r="H741" s="118">
        <v>3.75</v>
      </c>
      <c r="I741" s="119"/>
      <c r="K741" s="84"/>
    </row>
    <row r="742" spans="1:11" s="16" customFormat="1" ht="10.5" customHeight="1">
      <c r="A742" s="113" t="s">
        <v>1042</v>
      </c>
      <c r="B742" s="103" t="s">
        <v>348</v>
      </c>
      <c r="C742" s="114" t="s">
        <v>1048</v>
      </c>
      <c r="D742" s="115"/>
      <c r="E742" s="116"/>
      <c r="F742" s="115"/>
      <c r="G742" s="117"/>
      <c r="H742" s="118">
        <v>2.01</v>
      </c>
      <c r="I742" s="119"/>
      <c r="K742" s="84"/>
    </row>
    <row r="743" spans="1:11" s="16" customFormat="1" ht="10.5" customHeight="1">
      <c r="A743" s="113" t="s">
        <v>1042</v>
      </c>
      <c r="B743" s="103" t="s">
        <v>348</v>
      </c>
      <c r="C743" s="114" t="s">
        <v>650</v>
      </c>
      <c r="D743" s="115" t="s">
        <v>1049</v>
      </c>
      <c r="E743" s="116">
        <f>0.8+2.93-0.068-0.214-0.74-0.158-0.516</f>
        <v>2.0340000000000003</v>
      </c>
      <c r="F743" s="115"/>
      <c r="G743" s="117"/>
      <c r="H743" s="118"/>
      <c r="I743" s="119"/>
      <c r="K743" s="84"/>
    </row>
    <row r="744" spans="1:11" s="16" customFormat="1" ht="10.5" customHeight="1">
      <c r="A744" s="113" t="s">
        <v>1045</v>
      </c>
      <c r="B744" s="103" t="s">
        <v>348</v>
      </c>
      <c r="C744" s="114" t="s">
        <v>1050</v>
      </c>
      <c r="D744" s="115"/>
      <c r="E744" s="116"/>
      <c r="F744" s="115"/>
      <c r="G744" s="117"/>
      <c r="H744" s="118">
        <v>1.45</v>
      </c>
      <c r="I744" s="119"/>
      <c r="K744" s="84"/>
    </row>
    <row r="745" spans="1:11" s="16" customFormat="1" ht="10.5" customHeight="1">
      <c r="A745" s="113" t="s">
        <v>1045</v>
      </c>
      <c r="B745" s="103" t="s">
        <v>348</v>
      </c>
      <c r="C745" s="114" t="s">
        <v>1051</v>
      </c>
      <c r="D745" s="115"/>
      <c r="E745" s="116"/>
      <c r="F745" s="115"/>
      <c r="G745" s="117"/>
      <c r="H745" s="118">
        <v>4.1</v>
      </c>
      <c r="I745" s="119"/>
      <c r="K745" s="84"/>
    </row>
    <row r="746" spans="1:11" s="16" customFormat="1" ht="10.5" customHeight="1">
      <c r="A746" s="113" t="s">
        <v>1042</v>
      </c>
      <c r="B746" s="103" t="s">
        <v>348</v>
      </c>
      <c r="C746" s="114" t="s">
        <v>654</v>
      </c>
      <c r="D746" s="115" t="s">
        <v>459</v>
      </c>
      <c r="E746" s="116">
        <f>2.9-0.086-0.224</f>
        <v>2.59</v>
      </c>
      <c r="F746" s="115"/>
      <c r="G746" s="117"/>
      <c r="H746" s="118"/>
      <c r="I746" s="123">
        <v>1</v>
      </c>
      <c r="J746" s="16" t="s">
        <v>395</v>
      </c>
      <c r="K746" s="84"/>
    </row>
    <row r="747" spans="1:11" s="16" customFormat="1" ht="10.5" customHeight="1">
      <c r="A747" s="113" t="s">
        <v>1044</v>
      </c>
      <c r="B747" s="103" t="s">
        <v>348</v>
      </c>
      <c r="C747" s="114">
        <v>70</v>
      </c>
      <c r="D747" s="115"/>
      <c r="E747" s="116"/>
      <c r="F747" s="115" t="s">
        <v>1052</v>
      </c>
      <c r="G747" s="117">
        <f>1.928-0.11-0.046-0.12-0.107</f>
        <v>1.5449999999999997</v>
      </c>
      <c r="H747" s="118"/>
      <c r="I747" s="119"/>
      <c r="K747" s="84"/>
    </row>
    <row r="748" spans="1:11" s="16" customFormat="1" ht="10.5" customHeight="1">
      <c r="A748" s="113" t="s">
        <v>1044</v>
      </c>
      <c r="B748" s="103" t="s">
        <v>348</v>
      </c>
      <c r="C748" s="114" t="s">
        <v>1053</v>
      </c>
      <c r="D748" s="115" t="s">
        <v>1054</v>
      </c>
      <c r="E748" s="116">
        <f>0.89-0.036</f>
        <v>0.854</v>
      </c>
      <c r="F748" s="115"/>
      <c r="G748" s="117"/>
      <c r="H748" s="118"/>
      <c r="I748" s="119"/>
      <c r="K748" s="84"/>
    </row>
    <row r="749" spans="1:11" s="16" customFormat="1" ht="10.5" customHeight="1">
      <c r="A749" s="113" t="s">
        <v>1042</v>
      </c>
      <c r="B749" s="103" t="s">
        <v>348</v>
      </c>
      <c r="C749" s="114" t="s">
        <v>1055</v>
      </c>
      <c r="D749" s="115"/>
      <c r="E749" s="116"/>
      <c r="F749" s="115"/>
      <c r="G749" s="117"/>
      <c r="H749" s="118">
        <v>2.71</v>
      </c>
      <c r="I749" s="119"/>
      <c r="K749" s="84"/>
    </row>
    <row r="750" spans="1:11" s="16" customFormat="1" ht="10.5" customHeight="1">
      <c r="A750" s="113" t="s">
        <v>1044</v>
      </c>
      <c r="B750" s="103" t="s">
        <v>348</v>
      </c>
      <c r="C750" s="114">
        <v>90</v>
      </c>
      <c r="D750" s="115"/>
      <c r="E750" s="116"/>
      <c r="F750" s="115"/>
      <c r="G750" s="117"/>
      <c r="H750" s="118">
        <v>2.73</v>
      </c>
      <c r="I750" s="119"/>
      <c r="K750" s="84"/>
    </row>
    <row r="751" spans="1:11" s="16" customFormat="1" ht="10.5" customHeight="1">
      <c r="A751" s="113" t="s">
        <v>1042</v>
      </c>
      <c r="B751" s="103" t="s">
        <v>348</v>
      </c>
      <c r="C751" s="114" t="s">
        <v>1056</v>
      </c>
      <c r="D751" s="115"/>
      <c r="E751" s="116"/>
      <c r="F751" s="115"/>
      <c r="G751" s="117"/>
      <c r="H751" s="118">
        <v>2.66</v>
      </c>
      <c r="I751" s="119"/>
      <c r="K751" s="84"/>
    </row>
    <row r="752" spans="1:11" s="16" customFormat="1" ht="10.5" customHeight="1">
      <c r="A752" s="113" t="s">
        <v>1045</v>
      </c>
      <c r="B752" s="103" t="s">
        <v>348</v>
      </c>
      <c r="C752" s="114">
        <v>140</v>
      </c>
      <c r="D752" s="115"/>
      <c r="E752" s="116"/>
      <c r="F752" s="115"/>
      <c r="G752" s="117"/>
      <c r="H752" s="118">
        <v>3.6</v>
      </c>
      <c r="I752" s="119"/>
      <c r="K752" s="84"/>
    </row>
    <row r="753" spans="1:11" s="16" customFormat="1" ht="10.5" customHeight="1">
      <c r="A753" s="113" t="s">
        <v>1045</v>
      </c>
      <c r="B753" s="103" t="s">
        <v>348</v>
      </c>
      <c r="C753" s="114">
        <v>150</v>
      </c>
      <c r="D753" s="115"/>
      <c r="E753" s="116"/>
      <c r="F753" s="115"/>
      <c r="G753" s="117"/>
      <c r="H753" s="118">
        <v>1.98</v>
      </c>
      <c r="I753" s="119"/>
      <c r="K753" s="84"/>
    </row>
    <row r="754" spans="1:11" s="16" customFormat="1" ht="10.5" customHeight="1">
      <c r="A754" s="113" t="s">
        <v>1045</v>
      </c>
      <c r="B754" s="103" t="s">
        <v>348</v>
      </c>
      <c r="C754" s="114">
        <v>160</v>
      </c>
      <c r="D754" s="115"/>
      <c r="E754" s="116"/>
      <c r="F754" s="115"/>
      <c r="G754" s="117"/>
      <c r="H754" s="118">
        <v>3.44</v>
      </c>
      <c r="I754" s="119"/>
      <c r="K754" s="84"/>
    </row>
    <row r="755" spans="1:11" s="16" customFormat="1" ht="10.5" customHeight="1">
      <c r="A755" s="113" t="s">
        <v>1045</v>
      </c>
      <c r="B755" s="103" t="s">
        <v>348</v>
      </c>
      <c r="C755" s="114">
        <v>170</v>
      </c>
      <c r="D755" s="115"/>
      <c r="E755" s="116"/>
      <c r="F755" s="115"/>
      <c r="G755" s="117"/>
      <c r="H755" s="118">
        <v>1.68</v>
      </c>
      <c r="I755" s="119"/>
      <c r="K755" s="84"/>
    </row>
    <row r="756" spans="1:11" s="16" customFormat="1" ht="10.5" customHeight="1">
      <c r="A756" s="113" t="s">
        <v>1042</v>
      </c>
      <c r="B756" s="103" t="s">
        <v>348</v>
      </c>
      <c r="C756" s="114" t="s">
        <v>682</v>
      </c>
      <c r="D756" s="115" t="s">
        <v>1057</v>
      </c>
      <c r="E756" s="116">
        <f>4.34-0.206-0.64-0.034-0.638-0.036-0.636-0.584</f>
        <v>1.5659999999999994</v>
      </c>
      <c r="F756" s="115"/>
      <c r="G756" s="117"/>
      <c r="H756" s="118"/>
      <c r="I756" s="119"/>
      <c r="K756" s="84"/>
    </row>
    <row r="757" spans="1:11" s="16" customFormat="1" ht="10.5" customHeight="1">
      <c r="A757" s="113" t="s">
        <v>1058</v>
      </c>
      <c r="B757" s="103" t="s">
        <v>348</v>
      </c>
      <c r="C757" s="114" t="s">
        <v>682</v>
      </c>
      <c r="D757" s="115"/>
      <c r="E757" s="116"/>
      <c r="F757" s="115"/>
      <c r="G757" s="117"/>
      <c r="H757" s="118">
        <v>2.79</v>
      </c>
      <c r="I757" s="119"/>
      <c r="K757" s="84"/>
    </row>
    <row r="758" spans="1:11" s="16" customFormat="1" ht="10.5" customHeight="1">
      <c r="A758" s="113" t="s">
        <v>1045</v>
      </c>
      <c r="B758" s="103" t="s">
        <v>348</v>
      </c>
      <c r="C758" s="114" t="s">
        <v>1059</v>
      </c>
      <c r="D758" s="115"/>
      <c r="E758" s="116"/>
      <c r="F758" s="115"/>
      <c r="G758" s="117"/>
      <c r="H758" s="118">
        <v>3.16</v>
      </c>
      <c r="I758" s="119"/>
      <c r="K758" s="84"/>
    </row>
    <row r="759" spans="1:11" s="16" customFormat="1" ht="10.5" customHeight="1">
      <c r="A759" s="113" t="s">
        <v>1045</v>
      </c>
      <c r="B759" s="103" t="s">
        <v>348</v>
      </c>
      <c r="C759" s="114" t="s">
        <v>1060</v>
      </c>
      <c r="D759" s="115"/>
      <c r="E759" s="116"/>
      <c r="F759" s="115"/>
      <c r="G759" s="117"/>
      <c r="H759" s="118">
        <v>5.97</v>
      </c>
      <c r="I759" s="119"/>
      <c r="K759" s="84"/>
    </row>
    <row r="760" spans="1:11" s="16" customFormat="1" ht="10.5" customHeight="1">
      <c r="A760" s="113" t="s">
        <v>1045</v>
      </c>
      <c r="B760" s="103" t="s">
        <v>348</v>
      </c>
      <c r="C760" s="114">
        <v>250</v>
      </c>
      <c r="D760" s="115"/>
      <c r="E760" s="116"/>
      <c r="F760" s="115"/>
      <c r="G760" s="117"/>
      <c r="H760" s="118">
        <v>3.33</v>
      </c>
      <c r="I760" s="119"/>
      <c r="K760" s="84"/>
    </row>
    <row r="761" spans="1:11" s="16" customFormat="1" ht="13.5" customHeight="1">
      <c r="A761" s="128"/>
      <c r="B761" s="109"/>
      <c r="C761" s="129" t="s">
        <v>1061</v>
      </c>
      <c r="D761" s="109"/>
      <c r="E761" s="106"/>
      <c r="F761" s="109"/>
      <c r="G761" s="112"/>
      <c r="H761" s="107"/>
      <c r="I761" s="108"/>
      <c r="K761" s="84"/>
    </row>
    <row r="762" spans="1:11" s="16" customFormat="1" ht="10.5" customHeight="1">
      <c r="A762" s="113" t="s">
        <v>1062</v>
      </c>
      <c r="B762" s="103" t="s">
        <v>348</v>
      </c>
      <c r="C762" s="114">
        <v>180</v>
      </c>
      <c r="D762" s="115"/>
      <c r="E762" s="116"/>
      <c r="F762" s="115"/>
      <c r="G762" s="117"/>
      <c r="H762" s="118">
        <v>2.58</v>
      </c>
      <c r="I762" s="119"/>
      <c r="K762" s="84"/>
    </row>
    <row r="763" spans="1:11" s="16" customFormat="1" ht="10.5" customHeight="1">
      <c r="A763" s="113" t="s">
        <v>1062</v>
      </c>
      <c r="B763" s="103" t="s">
        <v>348</v>
      </c>
      <c r="C763" s="114">
        <v>200</v>
      </c>
      <c r="D763" s="115"/>
      <c r="E763" s="116"/>
      <c r="F763" s="115"/>
      <c r="G763" s="117"/>
      <c r="H763" s="118">
        <v>1.28</v>
      </c>
      <c r="I763" s="119"/>
      <c r="K763" s="84"/>
    </row>
    <row r="764" spans="1:11" s="16" customFormat="1" ht="10.5" customHeight="1">
      <c r="A764" s="113" t="s">
        <v>1062</v>
      </c>
      <c r="B764" s="103" t="s">
        <v>348</v>
      </c>
      <c r="C764" s="114">
        <v>220</v>
      </c>
      <c r="D764" s="115"/>
      <c r="E764" s="116"/>
      <c r="F764" s="115"/>
      <c r="G764" s="117"/>
      <c r="H764" s="118">
        <v>3.74</v>
      </c>
      <c r="I764" s="119"/>
      <c r="K764" s="84"/>
    </row>
    <row r="765" spans="1:11" s="16" customFormat="1" ht="10.5" customHeight="1">
      <c r="A765" s="113" t="s">
        <v>1063</v>
      </c>
      <c r="B765" s="103" t="s">
        <v>348</v>
      </c>
      <c r="C765" s="114" t="s">
        <v>1064</v>
      </c>
      <c r="D765" s="115"/>
      <c r="E765" s="116"/>
      <c r="F765" s="115"/>
      <c r="G765" s="117"/>
      <c r="H765" s="118">
        <v>2.82</v>
      </c>
      <c r="I765" s="119"/>
      <c r="K765" s="84"/>
    </row>
    <row r="766" spans="1:11" s="16" customFormat="1" ht="10.5" customHeight="1">
      <c r="A766" s="113" t="s">
        <v>1063</v>
      </c>
      <c r="B766" s="103" t="s">
        <v>370</v>
      </c>
      <c r="C766" s="114" t="s">
        <v>956</v>
      </c>
      <c r="D766" s="115"/>
      <c r="E766" s="116"/>
      <c r="F766" s="115" t="s">
        <v>1065</v>
      </c>
      <c r="G766" s="117">
        <f>2.735-0.665</f>
        <v>2.07</v>
      </c>
      <c r="H766" s="118"/>
      <c r="I766" s="119"/>
      <c r="K766" s="84"/>
    </row>
    <row r="767" spans="1:11" s="16" customFormat="1" ht="10.5" customHeight="1">
      <c r="A767" s="113" t="s">
        <v>1063</v>
      </c>
      <c r="B767" s="103" t="s">
        <v>370</v>
      </c>
      <c r="C767" s="114" t="s">
        <v>1066</v>
      </c>
      <c r="D767" s="115"/>
      <c r="E767" s="116"/>
      <c r="F767" s="115" t="s">
        <v>445</v>
      </c>
      <c r="G767" s="117">
        <v>2.742</v>
      </c>
      <c r="H767" s="118"/>
      <c r="I767" s="119"/>
      <c r="K767" s="84"/>
    </row>
    <row r="768" spans="1:11" s="16" customFormat="1" ht="10.5" customHeight="1">
      <c r="A768" s="113" t="s">
        <v>1063</v>
      </c>
      <c r="B768" s="103" t="s">
        <v>370</v>
      </c>
      <c r="C768" s="114" t="s">
        <v>1067</v>
      </c>
      <c r="D768" s="115"/>
      <c r="E768" s="116"/>
      <c r="F768" s="115" t="s">
        <v>445</v>
      </c>
      <c r="G768" s="117">
        <v>2.088</v>
      </c>
      <c r="H768" s="118"/>
      <c r="I768" s="119"/>
      <c r="K768" s="84"/>
    </row>
    <row r="769" spans="1:11" s="16" customFormat="1" ht="10.5" customHeight="1">
      <c r="A769" s="113" t="s">
        <v>1063</v>
      </c>
      <c r="B769" s="103" t="s">
        <v>370</v>
      </c>
      <c r="C769" s="114" t="s">
        <v>1068</v>
      </c>
      <c r="D769" s="115"/>
      <c r="E769" s="116"/>
      <c r="F769" s="115" t="s">
        <v>445</v>
      </c>
      <c r="G769" s="117">
        <f>2.038-0.355</f>
        <v>1.6829999999999998</v>
      </c>
      <c r="H769" s="118"/>
      <c r="I769" s="119"/>
      <c r="K769" s="84"/>
    </row>
    <row r="770" spans="1:11" s="16" customFormat="1" ht="10.5" customHeight="1">
      <c r="A770" s="113" t="s">
        <v>1069</v>
      </c>
      <c r="B770" s="103" t="s">
        <v>348</v>
      </c>
      <c r="C770" s="114">
        <v>210</v>
      </c>
      <c r="D770" s="115" t="s">
        <v>456</v>
      </c>
      <c r="E770" s="116">
        <f>1.862+1.29-0.654</f>
        <v>2.498</v>
      </c>
      <c r="F770" s="115"/>
      <c r="G770" s="117"/>
      <c r="H770" s="118"/>
      <c r="I770" s="119"/>
      <c r="K770" s="84"/>
    </row>
    <row r="771" spans="1:11" s="16" customFormat="1" ht="10.5" customHeight="1">
      <c r="A771" s="113" t="s">
        <v>1070</v>
      </c>
      <c r="B771" s="103" t="s">
        <v>348</v>
      </c>
      <c r="C771" s="114">
        <v>24</v>
      </c>
      <c r="D771" s="115"/>
      <c r="E771" s="116"/>
      <c r="F771" s="115"/>
      <c r="G771" s="117">
        <f>0.848-0.1</f>
        <v>0.748</v>
      </c>
      <c r="H771" s="118"/>
      <c r="I771" s="119">
        <v>0.16</v>
      </c>
      <c r="K771" s="84"/>
    </row>
    <row r="772" spans="1:11" s="16" customFormat="1" ht="10.5" customHeight="1">
      <c r="A772" s="113" t="s">
        <v>1070</v>
      </c>
      <c r="B772" s="103" t="s">
        <v>348</v>
      </c>
      <c r="C772" s="114">
        <v>28</v>
      </c>
      <c r="D772" s="115"/>
      <c r="E772" s="116"/>
      <c r="F772" s="115" t="s">
        <v>407</v>
      </c>
      <c r="G772" s="117">
        <v>0.543</v>
      </c>
      <c r="H772" s="118"/>
      <c r="I772" s="119"/>
      <c r="K772" s="84"/>
    </row>
    <row r="773" spans="1:11" s="16" customFormat="1" ht="10.5" customHeight="1">
      <c r="A773" s="113" t="s">
        <v>1070</v>
      </c>
      <c r="B773" s="103" t="s">
        <v>348</v>
      </c>
      <c r="C773" s="114">
        <v>30</v>
      </c>
      <c r="D773" s="115"/>
      <c r="E773" s="116"/>
      <c r="F773" s="115"/>
      <c r="G773" s="117">
        <v>0.67</v>
      </c>
      <c r="H773" s="118"/>
      <c r="I773" s="119"/>
      <c r="K773" s="84"/>
    </row>
    <row r="774" spans="1:11" s="16" customFormat="1" ht="10.5" customHeight="1">
      <c r="A774" s="113" t="s">
        <v>1070</v>
      </c>
      <c r="B774" s="103" t="s">
        <v>348</v>
      </c>
      <c r="C774" s="114">
        <v>32</v>
      </c>
      <c r="D774" s="115"/>
      <c r="E774" s="116"/>
      <c r="F774" s="115" t="s">
        <v>1071</v>
      </c>
      <c r="G774" s="117">
        <v>0.454</v>
      </c>
      <c r="H774" s="118"/>
      <c r="I774" s="119"/>
      <c r="K774" s="84"/>
    </row>
    <row r="775" spans="1:11" s="16" customFormat="1" ht="10.5" customHeight="1">
      <c r="A775" s="113" t="s">
        <v>1070</v>
      </c>
      <c r="B775" s="103" t="s">
        <v>348</v>
      </c>
      <c r="C775" s="114">
        <v>36</v>
      </c>
      <c r="D775" s="115"/>
      <c r="E775" s="116"/>
      <c r="F775" s="115"/>
      <c r="G775" s="117">
        <f>0.61-0.022</f>
        <v>0.588</v>
      </c>
      <c r="H775" s="118"/>
      <c r="I775" s="119"/>
      <c r="K775" s="84"/>
    </row>
    <row r="776" spans="1:11" s="16" customFormat="1" ht="10.5" customHeight="1">
      <c r="A776" s="113" t="s">
        <v>1070</v>
      </c>
      <c r="B776" s="103" t="s">
        <v>348</v>
      </c>
      <c r="C776" s="114">
        <v>44</v>
      </c>
      <c r="D776" s="115"/>
      <c r="E776" s="116"/>
      <c r="F776" s="115" t="s">
        <v>407</v>
      </c>
      <c r="G776" s="117">
        <v>0.167</v>
      </c>
      <c r="H776" s="118"/>
      <c r="I776" s="119"/>
      <c r="K776" s="84"/>
    </row>
    <row r="777" spans="1:11" s="16" customFormat="1" ht="10.5" customHeight="1">
      <c r="A777" s="113" t="s">
        <v>1070</v>
      </c>
      <c r="B777" s="103" t="s">
        <v>348</v>
      </c>
      <c r="C777" s="114">
        <v>55</v>
      </c>
      <c r="D777" s="115"/>
      <c r="E777" s="116"/>
      <c r="F777" s="115"/>
      <c r="G777" s="117">
        <v>0.62</v>
      </c>
      <c r="H777" s="118"/>
      <c r="I777" s="119"/>
      <c r="K777" s="84"/>
    </row>
    <row r="778" spans="1:11" s="16" customFormat="1" ht="10.5" customHeight="1">
      <c r="A778" s="113" t="s">
        <v>1070</v>
      </c>
      <c r="B778" s="103" t="s">
        <v>348</v>
      </c>
      <c r="C778" s="114">
        <v>56</v>
      </c>
      <c r="D778" s="115"/>
      <c r="E778" s="116"/>
      <c r="F778" s="115" t="s">
        <v>1072</v>
      </c>
      <c r="G778" s="117">
        <f>1.769-0.119-0.468</f>
        <v>1.182</v>
      </c>
      <c r="H778" s="118"/>
      <c r="I778" s="119"/>
      <c r="K778" s="84"/>
    </row>
    <row r="779" spans="1:11" s="16" customFormat="1" ht="10.5" customHeight="1">
      <c r="A779" s="113" t="s">
        <v>1070</v>
      </c>
      <c r="B779" s="103" t="s">
        <v>348</v>
      </c>
      <c r="C779" s="114">
        <v>70</v>
      </c>
      <c r="D779" s="115"/>
      <c r="E779" s="116"/>
      <c r="F779" s="115" t="s">
        <v>1073</v>
      </c>
      <c r="G779" s="117">
        <f>4.558-0.44</f>
        <v>4.117999999999999</v>
      </c>
      <c r="H779" s="118"/>
      <c r="I779" s="119"/>
      <c r="K779" s="84"/>
    </row>
    <row r="780" spans="1:11" s="16" customFormat="1" ht="10.5" customHeight="1">
      <c r="A780" s="113" t="s">
        <v>1074</v>
      </c>
      <c r="B780" s="103" t="s">
        <v>348</v>
      </c>
      <c r="C780" s="114">
        <v>80</v>
      </c>
      <c r="D780" s="115"/>
      <c r="E780" s="116"/>
      <c r="F780" s="115" t="s">
        <v>1075</v>
      </c>
      <c r="G780" s="117">
        <v>3.5</v>
      </c>
      <c r="H780" s="118"/>
      <c r="I780" s="119"/>
      <c r="K780" s="84"/>
    </row>
    <row r="781" spans="1:11" s="16" customFormat="1" ht="10.5" customHeight="1">
      <c r="A781" s="113" t="s">
        <v>1074</v>
      </c>
      <c r="B781" s="103" t="s">
        <v>348</v>
      </c>
      <c r="C781" s="114">
        <v>120</v>
      </c>
      <c r="D781" s="115"/>
      <c r="E781" s="116"/>
      <c r="F781" s="115" t="s">
        <v>1076</v>
      </c>
      <c r="G781" s="117">
        <f>1.739-0.63</f>
        <v>1.109</v>
      </c>
      <c r="H781" s="118"/>
      <c r="I781" s="119"/>
      <c r="K781" s="84"/>
    </row>
    <row r="782" spans="1:11" s="16" customFormat="1" ht="10.5" customHeight="1">
      <c r="A782" s="113" t="s">
        <v>1077</v>
      </c>
      <c r="B782" s="103" t="s">
        <v>370</v>
      </c>
      <c r="C782" s="114" t="s">
        <v>1078</v>
      </c>
      <c r="D782" s="115"/>
      <c r="E782" s="116"/>
      <c r="F782" s="115" t="s">
        <v>1079</v>
      </c>
      <c r="G782" s="117">
        <v>0.68</v>
      </c>
      <c r="H782" s="118"/>
      <c r="I782" s="119"/>
      <c r="K782" s="84"/>
    </row>
    <row r="783" spans="1:11" s="16" customFormat="1" ht="10.5" customHeight="1">
      <c r="A783" s="113" t="s">
        <v>1077</v>
      </c>
      <c r="B783" s="103" t="s">
        <v>370</v>
      </c>
      <c r="C783" s="114" t="s">
        <v>439</v>
      </c>
      <c r="D783" s="115"/>
      <c r="E783" s="116"/>
      <c r="F783" s="115" t="s">
        <v>1080</v>
      </c>
      <c r="G783" s="117">
        <v>3.83</v>
      </c>
      <c r="H783" s="118"/>
      <c r="I783" s="119"/>
      <c r="K783" s="84"/>
    </row>
    <row r="784" spans="1:11" s="16" customFormat="1" ht="10.5" customHeight="1">
      <c r="A784" s="113" t="s">
        <v>1077</v>
      </c>
      <c r="B784" s="103" t="s">
        <v>370</v>
      </c>
      <c r="C784" s="114" t="s">
        <v>1081</v>
      </c>
      <c r="D784" s="115"/>
      <c r="E784" s="116"/>
      <c r="F784" s="115" t="s">
        <v>1082</v>
      </c>
      <c r="G784" s="117">
        <v>1.18</v>
      </c>
      <c r="H784" s="118"/>
      <c r="I784" s="119"/>
      <c r="K784" s="84"/>
    </row>
    <row r="785" spans="1:11" s="16" customFormat="1" ht="10.5" customHeight="1">
      <c r="A785" s="113" t="s">
        <v>1083</v>
      </c>
      <c r="B785" s="103" t="s">
        <v>348</v>
      </c>
      <c r="C785" s="114" t="s">
        <v>604</v>
      </c>
      <c r="D785" s="115"/>
      <c r="E785" s="120">
        <v>4.095</v>
      </c>
      <c r="F785" s="115"/>
      <c r="G785" s="117"/>
      <c r="H785" s="121"/>
      <c r="I785" s="119"/>
      <c r="K785" s="84"/>
    </row>
    <row r="786" spans="1:11" s="16" customFormat="1" ht="10.5" customHeight="1">
      <c r="A786" s="113" t="s">
        <v>1083</v>
      </c>
      <c r="B786" s="103" t="s">
        <v>348</v>
      </c>
      <c r="C786" s="114" t="s">
        <v>722</v>
      </c>
      <c r="D786" s="115" t="s">
        <v>459</v>
      </c>
      <c r="E786" s="120">
        <v>3.19</v>
      </c>
      <c r="F786" s="115"/>
      <c r="G786" s="117"/>
      <c r="H786" s="121"/>
      <c r="I786" s="119"/>
      <c r="K786" s="84"/>
    </row>
    <row r="787" spans="1:11" s="16" customFormat="1" ht="10.5" customHeight="1">
      <c r="A787" s="113" t="s">
        <v>1083</v>
      </c>
      <c r="B787" s="103" t="s">
        <v>348</v>
      </c>
      <c r="C787" s="114" t="s">
        <v>644</v>
      </c>
      <c r="D787" s="115"/>
      <c r="E787" s="116"/>
      <c r="F787" s="115"/>
      <c r="G787" s="117"/>
      <c r="H787" s="118">
        <v>1.61</v>
      </c>
      <c r="I787" s="119"/>
      <c r="K787" s="84"/>
    </row>
    <row r="788" spans="1:11" s="16" customFormat="1" ht="10.5" customHeight="1">
      <c r="A788" s="113" t="s">
        <v>1083</v>
      </c>
      <c r="B788" s="103" t="s">
        <v>348</v>
      </c>
      <c r="C788" s="114" t="s">
        <v>402</v>
      </c>
      <c r="D788" s="115"/>
      <c r="E788" s="120">
        <v>1.785</v>
      </c>
      <c r="F788" s="115"/>
      <c r="G788" s="117"/>
      <c r="H788" s="121"/>
      <c r="I788" s="119"/>
      <c r="K788" s="84"/>
    </row>
    <row r="789" spans="1:11" s="16" customFormat="1" ht="10.5" customHeight="1">
      <c r="A789" s="113" t="s">
        <v>1083</v>
      </c>
      <c r="B789" s="103" t="s">
        <v>348</v>
      </c>
      <c r="C789" s="114" t="s">
        <v>404</v>
      </c>
      <c r="D789" s="115"/>
      <c r="E789" s="120"/>
      <c r="F789" s="115"/>
      <c r="G789" s="117"/>
      <c r="H789" s="121"/>
      <c r="I789" s="119"/>
      <c r="K789" s="84"/>
    </row>
    <row r="790" spans="1:11" s="16" customFormat="1" ht="10.5" customHeight="1">
      <c r="A790" s="113" t="s">
        <v>1083</v>
      </c>
      <c r="B790" s="103" t="s">
        <v>348</v>
      </c>
      <c r="C790" s="114" t="s">
        <v>770</v>
      </c>
      <c r="D790" s="115" t="s">
        <v>459</v>
      </c>
      <c r="E790" s="120">
        <v>2.135</v>
      </c>
      <c r="F790" s="115"/>
      <c r="G790" s="117"/>
      <c r="H790" s="121"/>
      <c r="I790" s="119"/>
      <c r="K790" s="84"/>
    </row>
    <row r="791" spans="1:11" s="16" customFormat="1" ht="10.5" customHeight="1">
      <c r="A791" s="113" t="s">
        <v>1083</v>
      </c>
      <c r="B791" s="103" t="s">
        <v>348</v>
      </c>
      <c r="C791" s="114" t="s">
        <v>477</v>
      </c>
      <c r="D791" s="115"/>
      <c r="E791" s="120">
        <v>4.28</v>
      </c>
      <c r="F791" s="115"/>
      <c r="G791" s="117"/>
      <c r="H791" s="121"/>
      <c r="I791" s="119"/>
      <c r="K791" s="84"/>
    </row>
    <row r="792" spans="1:11" s="16" customFormat="1" ht="10.5" customHeight="1">
      <c r="A792" s="113" t="s">
        <v>1083</v>
      </c>
      <c r="B792" s="103" t="s">
        <v>348</v>
      </c>
      <c r="C792" s="114" t="s">
        <v>408</v>
      </c>
      <c r="D792" s="115"/>
      <c r="E792" s="120">
        <v>3.19</v>
      </c>
      <c r="F792" s="115"/>
      <c r="G792" s="117"/>
      <c r="H792" s="121"/>
      <c r="I792" s="119"/>
      <c r="K792" s="84"/>
    </row>
    <row r="793" spans="1:11" s="16" customFormat="1" ht="10.5" customHeight="1">
      <c r="A793" s="113" t="s">
        <v>1083</v>
      </c>
      <c r="B793" s="103" t="s">
        <v>348</v>
      </c>
      <c r="C793" s="114" t="s">
        <v>409</v>
      </c>
      <c r="D793" s="115"/>
      <c r="E793" s="120">
        <v>3.26</v>
      </c>
      <c r="F793" s="115"/>
      <c r="G793" s="117"/>
      <c r="H793" s="121"/>
      <c r="I793" s="119"/>
      <c r="K793" s="84"/>
    </row>
    <row r="794" spans="1:11" s="16" customFormat="1" ht="10.5" customHeight="1">
      <c r="A794" s="113" t="s">
        <v>1084</v>
      </c>
      <c r="B794" s="103" t="s">
        <v>348</v>
      </c>
      <c r="C794" s="114">
        <v>100</v>
      </c>
      <c r="D794" s="115"/>
      <c r="E794" s="116"/>
      <c r="F794" s="115" t="s">
        <v>1085</v>
      </c>
      <c r="G794" s="117">
        <f>0.784-0.195-0.305</f>
        <v>0.284</v>
      </c>
      <c r="H794" s="118"/>
      <c r="I794" s="119"/>
      <c r="K794" s="84"/>
    </row>
    <row r="795" spans="1:11" s="16" customFormat="1" ht="10.5" customHeight="1">
      <c r="A795" s="113" t="s">
        <v>1083</v>
      </c>
      <c r="B795" s="103" t="s">
        <v>348</v>
      </c>
      <c r="C795" s="114" t="s">
        <v>411</v>
      </c>
      <c r="D795" s="115" t="s">
        <v>636</v>
      </c>
      <c r="E795" s="120">
        <v>3.77</v>
      </c>
      <c r="F795" s="115"/>
      <c r="G795" s="117"/>
      <c r="H795" s="121"/>
      <c r="I795" s="119"/>
      <c r="K795" s="84"/>
    </row>
    <row r="796" spans="1:11" s="16" customFormat="1" ht="10.5" customHeight="1">
      <c r="A796" s="113" t="s">
        <v>1083</v>
      </c>
      <c r="B796" s="103" t="s">
        <v>348</v>
      </c>
      <c r="C796" s="114" t="s">
        <v>1086</v>
      </c>
      <c r="D796" s="115"/>
      <c r="E796" s="116"/>
      <c r="F796" s="115"/>
      <c r="G796" s="117"/>
      <c r="H796" s="118">
        <v>1.14</v>
      </c>
      <c r="I796" s="119"/>
      <c r="K796" s="84"/>
    </row>
    <row r="797" spans="1:11" s="16" customFormat="1" ht="10.5" customHeight="1">
      <c r="A797" s="113" t="s">
        <v>1087</v>
      </c>
      <c r="B797" s="103" t="s">
        <v>348</v>
      </c>
      <c r="C797" s="114">
        <v>200</v>
      </c>
      <c r="D797" s="115"/>
      <c r="E797" s="116"/>
      <c r="F797" s="115"/>
      <c r="G797" s="117"/>
      <c r="H797" s="118">
        <v>3.6</v>
      </c>
      <c r="I797" s="119"/>
      <c r="K797" s="84"/>
    </row>
    <row r="798" spans="1:11" s="16" customFormat="1" ht="10.5" customHeight="1">
      <c r="A798" s="113" t="s">
        <v>1087</v>
      </c>
      <c r="B798" s="103" t="s">
        <v>348</v>
      </c>
      <c r="C798" s="114">
        <v>210</v>
      </c>
      <c r="D798" s="115"/>
      <c r="E798" s="116"/>
      <c r="F798" s="115"/>
      <c r="G798" s="117"/>
      <c r="H798" s="118">
        <v>1.6</v>
      </c>
      <c r="I798" s="119"/>
      <c r="K798" s="84"/>
    </row>
    <row r="799" spans="1:11" s="16" customFormat="1" ht="10.5" customHeight="1">
      <c r="A799" s="113" t="s">
        <v>1088</v>
      </c>
      <c r="B799" s="103" t="s">
        <v>348</v>
      </c>
      <c r="C799" s="114">
        <v>280</v>
      </c>
      <c r="D799" s="115"/>
      <c r="E799" s="116"/>
      <c r="F799" s="115"/>
      <c r="G799" s="117"/>
      <c r="H799" s="118">
        <v>3.57</v>
      </c>
      <c r="I799" s="119"/>
      <c r="K799" s="84"/>
    </row>
    <row r="800" spans="1:11" s="16" customFormat="1" ht="10.5" customHeight="1">
      <c r="A800" s="113" t="s">
        <v>1089</v>
      </c>
      <c r="B800" s="103" t="s">
        <v>370</v>
      </c>
      <c r="C800" s="114" t="s">
        <v>1066</v>
      </c>
      <c r="D800" s="115"/>
      <c r="E800" s="116"/>
      <c r="F800" s="115" t="s">
        <v>445</v>
      </c>
      <c r="G800" s="117">
        <v>0.23</v>
      </c>
      <c r="H800" s="118"/>
      <c r="I800" s="119"/>
      <c r="K800" s="84"/>
    </row>
    <row r="801" spans="1:11" s="16" customFormat="1" ht="10.5" customHeight="1">
      <c r="A801" s="113" t="s">
        <v>1090</v>
      </c>
      <c r="B801" s="103" t="s">
        <v>370</v>
      </c>
      <c r="C801" s="114" t="s">
        <v>393</v>
      </c>
      <c r="D801" s="115"/>
      <c r="E801" s="116"/>
      <c r="F801" s="115" t="s">
        <v>1091</v>
      </c>
      <c r="G801" s="117">
        <v>0.265</v>
      </c>
      <c r="H801" s="118"/>
      <c r="I801" s="119"/>
      <c r="K801" s="84"/>
    </row>
    <row r="802" spans="1:11" s="16" customFormat="1" ht="10.5" customHeight="1">
      <c r="A802" s="113" t="s">
        <v>1087</v>
      </c>
      <c r="B802" s="103" t="s">
        <v>370</v>
      </c>
      <c r="C802" s="114" t="s">
        <v>439</v>
      </c>
      <c r="D802" s="115"/>
      <c r="E802" s="116"/>
      <c r="F802" s="115" t="s">
        <v>445</v>
      </c>
      <c r="G802" s="117">
        <v>0.408</v>
      </c>
      <c r="H802" s="118"/>
      <c r="I802" s="119"/>
      <c r="K802" s="84"/>
    </row>
    <row r="803" spans="1:11" s="16" customFormat="1" ht="10.5" customHeight="1">
      <c r="A803" s="113" t="s">
        <v>1083</v>
      </c>
      <c r="B803" s="103" t="s">
        <v>924</v>
      </c>
      <c r="C803" s="114" t="s">
        <v>644</v>
      </c>
      <c r="D803" s="115"/>
      <c r="E803" s="116"/>
      <c r="F803" s="115"/>
      <c r="G803" s="117"/>
      <c r="H803" s="118">
        <v>2.58</v>
      </c>
      <c r="I803" s="119"/>
      <c r="K803" s="84"/>
    </row>
    <row r="804" spans="1:11" s="16" customFormat="1" ht="10.5" customHeight="1">
      <c r="A804" s="113" t="s">
        <v>1083</v>
      </c>
      <c r="B804" s="103" t="s">
        <v>924</v>
      </c>
      <c r="C804" s="114" t="s">
        <v>647</v>
      </c>
      <c r="D804" s="115"/>
      <c r="E804" s="116"/>
      <c r="F804" s="115"/>
      <c r="G804" s="117"/>
      <c r="H804" s="118">
        <v>0.97</v>
      </c>
      <c r="I804" s="119"/>
      <c r="K804" s="84"/>
    </row>
    <row r="805" spans="1:11" s="16" customFormat="1" ht="10.5" customHeight="1">
      <c r="A805" s="113" t="s">
        <v>1083</v>
      </c>
      <c r="B805" s="103" t="s">
        <v>924</v>
      </c>
      <c r="C805" s="114" t="s">
        <v>1092</v>
      </c>
      <c r="D805" s="115"/>
      <c r="E805" s="116"/>
      <c r="F805" s="115"/>
      <c r="G805" s="117"/>
      <c r="H805" s="118">
        <v>2.1</v>
      </c>
      <c r="I805" s="119"/>
      <c r="K805" s="84"/>
    </row>
    <row r="806" spans="1:11" s="16" customFormat="1" ht="13.5" customHeight="1">
      <c r="A806" s="128"/>
      <c r="B806" s="129" t="s">
        <v>1093</v>
      </c>
      <c r="C806" s="129"/>
      <c r="D806" s="109"/>
      <c r="E806" s="106"/>
      <c r="F806" s="109"/>
      <c r="G806" s="112"/>
      <c r="H806" s="107"/>
      <c r="I806" s="108"/>
      <c r="K806" s="84"/>
    </row>
    <row r="807" spans="1:11" s="16" customFormat="1" ht="10.5" customHeight="1">
      <c r="A807" s="113" t="s">
        <v>1094</v>
      </c>
      <c r="B807" s="103" t="s">
        <v>348</v>
      </c>
      <c r="C807" s="114">
        <v>160</v>
      </c>
      <c r="D807" s="115"/>
      <c r="E807" s="116">
        <v>0.35</v>
      </c>
      <c r="F807" s="115"/>
      <c r="G807" s="117"/>
      <c r="H807" s="118"/>
      <c r="I807" s="119"/>
      <c r="K807" s="84"/>
    </row>
    <row r="808" spans="1:11" s="16" customFormat="1" ht="10.5" customHeight="1">
      <c r="A808" s="113" t="s">
        <v>1095</v>
      </c>
      <c r="B808" s="103" t="s">
        <v>348</v>
      </c>
      <c r="C808" s="114">
        <v>12</v>
      </c>
      <c r="D808" s="115" t="s">
        <v>405</v>
      </c>
      <c r="E808" s="116">
        <f>0.42-0.024</f>
        <v>0.39599999999999996</v>
      </c>
      <c r="F808" s="115"/>
      <c r="G808" s="117"/>
      <c r="H808" s="118"/>
      <c r="I808" s="119"/>
      <c r="K808" s="84"/>
    </row>
    <row r="809" spans="1:11" s="16" customFormat="1" ht="10.5" customHeight="1">
      <c r="A809" s="113" t="s">
        <v>1095</v>
      </c>
      <c r="B809" s="103" t="s">
        <v>348</v>
      </c>
      <c r="C809" s="114">
        <v>150</v>
      </c>
      <c r="D809" s="115" t="s">
        <v>1096</v>
      </c>
      <c r="E809" s="116">
        <f>0.396-0.036</f>
        <v>0.36000000000000004</v>
      </c>
      <c r="F809" s="115"/>
      <c r="G809" s="117"/>
      <c r="H809" s="118"/>
      <c r="I809" s="119"/>
      <c r="K809" s="84"/>
    </row>
    <row r="810" spans="1:11" s="16" customFormat="1" ht="10.5" customHeight="1">
      <c r="A810" s="113" t="s">
        <v>1097</v>
      </c>
      <c r="B810" s="103" t="s">
        <v>348</v>
      </c>
      <c r="C810" s="114">
        <v>13</v>
      </c>
      <c r="D810" s="115" t="s">
        <v>1098</v>
      </c>
      <c r="E810" s="116">
        <f>0.478+0.064-0.006-0.08-0.02-0.378</f>
        <v>0.057999999999999996</v>
      </c>
      <c r="F810" s="115"/>
      <c r="G810" s="117"/>
      <c r="H810" s="118"/>
      <c r="I810" s="119"/>
      <c r="K810" s="84"/>
    </row>
    <row r="811" spans="1:11" s="16" customFormat="1" ht="10.5" customHeight="1">
      <c r="A811" s="113" t="s">
        <v>1097</v>
      </c>
      <c r="B811" s="103" t="s">
        <v>348</v>
      </c>
      <c r="C811" s="114">
        <v>28</v>
      </c>
      <c r="D811" s="115" t="s">
        <v>1099</v>
      </c>
      <c r="E811" s="116">
        <f>1.146-0.03-0.624</f>
        <v>0.4919999999999999</v>
      </c>
      <c r="F811" s="115"/>
      <c r="G811" s="117"/>
      <c r="H811" s="118"/>
      <c r="I811" s="119"/>
      <c r="K811" s="84"/>
    </row>
    <row r="812" spans="1:11" s="16" customFormat="1" ht="10.5" customHeight="1">
      <c r="A812" s="113" t="s">
        <v>1097</v>
      </c>
      <c r="B812" s="103" t="s">
        <v>348</v>
      </c>
      <c r="C812" s="114">
        <v>32</v>
      </c>
      <c r="D812" s="115" t="s">
        <v>1100</v>
      </c>
      <c r="E812" s="116">
        <f>1.232-0.07-0.61</f>
        <v>0.5519999999999999</v>
      </c>
      <c r="F812" s="115"/>
      <c r="G812" s="117"/>
      <c r="H812" s="118"/>
      <c r="I812" s="123"/>
      <c r="K812" s="84"/>
    </row>
    <row r="813" spans="1:11" s="16" customFormat="1" ht="10.5" customHeight="1">
      <c r="A813" s="113" t="s">
        <v>1097</v>
      </c>
      <c r="B813" s="103" t="s">
        <v>348</v>
      </c>
      <c r="C813" s="114">
        <v>48</v>
      </c>
      <c r="D813" s="115" t="s">
        <v>1101</v>
      </c>
      <c r="E813" s="116">
        <f>0.486-0.25</f>
        <v>0.236</v>
      </c>
      <c r="F813" s="115"/>
      <c r="G813" s="117"/>
      <c r="H813" s="118"/>
      <c r="I813" s="119"/>
      <c r="K813" s="84"/>
    </row>
    <row r="814" spans="1:11" s="16" customFormat="1" ht="10.5" customHeight="1">
      <c r="A814" s="113" t="s">
        <v>1097</v>
      </c>
      <c r="B814" s="103" t="s">
        <v>364</v>
      </c>
      <c r="C814" s="114" t="s">
        <v>1102</v>
      </c>
      <c r="D814" s="115"/>
      <c r="E814" s="116">
        <v>0.534</v>
      </c>
      <c r="F814" s="115"/>
      <c r="G814" s="117"/>
      <c r="H814" s="118"/>
      <c r="I814" s="119"/>
      <c r="K814" s="84"/>
    </row>
    <row r="815" spans="1:11" s="16" customFormat="1" ht="10.5" customHeight="1">
      <c r="A815" s="113" t="s">
        <v>1103</v>
      </c>
      <c r="B815" s="103" t="s">
        <v>348</v>
      </c>
      <c r="C815" s="114">
        <v>16</v>
      </c>
      <c r="D815" s="115" t="s">
        <v>1104</v>
      </c>
      <c r="E815" s="116">
        <f>1.11-0.026-0.032+0.46-1.006</f>
        <v>0.506</v>
      </c>
      <c r="F815" s="115"/>
      <c r="G815" s="117"/>
      <c r="H815" s="118"/>
      <c r="I815" s="119"/>
      <c r="K815" s="84"/>
    </row>
    <row r="816" spans="1:11" s="16" customFormat="1" ht="10.5" customHeight="1">
      <c r="A816" s="113" t="s">
        <v>1103</v>
      </c>
      <c r="B816" s="103" t="s">
        <v>348</v>
      </c>
      <c r="C816" s="114">
        <v>48</v>
      </c>
      <c r="D816" s="115" t="s">
        <v>680</v>
      </c>
      <c r="E816" s="116">
        <f>0.604-0.052</f>
        <v>0.5519999999999999</v>
      </c>
      <c r="F816" s="115"/>
      <c r="G816" s="117"/>
      <c r="H816" s="118"/>
      <c r="I816" s="119"/>
      <c r="K816" s="84"/>
    </row>
    <row r="817" spans="1:11" s="16" customFormat="1" ht="10.5" customHeight="1">
      <c r="A817" s="113" t="s">
        <v>1103</v>
      </c>
      <c r="B817" s="103" t="s">
        <v>348</v>
      </c>
      <c r="C817" s="114" t="s">
        <v>507</v>
      </c>
      <c r="D817" s="115" t="s">
        <v>504</v>
      </c>
      <c r="E817" s="116">
        <f>6.44-2.164</f>
        <v>4.276</v>
      </c>
      <c r="F817" s="115"/>
      <c r="G817" s="117"/>
      <c r="H817" s="118"/>
      <c r="I817" s="119"/>
      <c r="K817" s="84"/>
    </row>
    <row r="818" spans="1:11" s="16" customFormat="1" ht="10.5" customHeight="1">
      <c r="A818" s="113" t="s">
        <v>1103</v>
      </c>
      <c r="B818" s="103" t="s">
        <v>348</v>
      </c>
      <c r="C818" s="114" t="s">
        <v>1105</v>
      </c>
      <c r="D818" s="115" t="s">
        <v>897</v>
      </c>
      <c r="E818" s="116">
        <v>7.319</v>
      </c>
      <c r="F818" s="115"/>
      <c r="G818" s="117"/>
      <c r="H818" s="118"/>
      <c r="I818" s="119"/>
      <c r="K818" s="84"/>
    </row>
    <row r="819" spans="1:11" s="16" customFormat="1" ht="10.5" customHeight="1">
      <c r="A819" s="113" t="s">
        <v>1106</v>
      </c>
      <c r="B819" s="103" t="s">
        <v>348</v>
      </c>
      <c r="C819" s="114">
        <v>48</v>
      </c>
      <c r="D819" s="115" t="s">
        <v>1107</v>
      </c>
      <c r="E819" s="116">
        <f>10.132-2.01-4-1.03-1.5-0.086</f>
        <v>1.5059999999999996</v>
      </c>
      <c r="F819" s="115"/>
      <c r="G819" s="117"/>
      <c r="H819" s="118"/>
      <c r="I819" s="119"/>
      <c r="K819" s="84"/>
    </row>
    <row r="820" spans="1:11" s="16" customFormat="1" ht="10.5" customHeight="1">
      <c r="A820" s="113" t="s">
        <v>1106</v>
      </c>
      <c r="B820" s="103" t="s">
        <v>348</v>
      </c>
      <c r="C820" s="114">
        <v>70</v>
      </c>
      <c r="D820" s="115" t="s">
        <v>687</v>
      </c>
      <c r="E820" s="116">
        <v>0.33</v>
      </c>
      <c r="F820" s="115"/>
      <c r="G820" s="117"/>
      <c r="H820" s="118"/>
      <c r="I820" s="119" t="s">
        <v>398</v>
      </c>
      <c r="J820" s="16" t="s">
        <v>395</v>
      </c>
      <c r="K820" s="84"/>
    </row>
    <row r="821" spans="1:11" s="16" customFormat="1" ht="10.5" customHeight="1">
      <c r="A821" s="113" t="s">
        <v>1108</v>
      </c>
      <c r="B821" s="103" t="s">
        <v>348</v>
      </c>
      <c r="C821" s="114">
        <v>10</v>
      </c>
      <c r="D821" s="115"/>
      <c r="E821" s="116">
        <f>1.91-0.1+0.1-0.3</f>
        <v>1.6099999999999999</v>
      </c>
      <c r="F821" s="115"/>
      <c r="G821" s="117"/>
      <c r="H821" s="118"/>
      <c r="I821" s="119"/>
      <c r="K821" s="84"/>
    </row>
    <row r="822" spans="1:11" s="16" customFormat="1" ht="10.5" customHeight="1">
      <c r="A822" s="113" t="s">
        <v>1109</v>
      </c>
      <c r="B822" s="103" t="s">
        <v>348</v>
      </c>
      <c r="C822" s="114">
        <v>20</v>
      </c>
      <c r="D822" s="115" t="s">
        <v>447</v>
      </c>
      <c r="E822" s="116">
        <f>0.208-0.008</f>
        <v>0.19999999999999998</v>
      </c>
      <c r="F822" s="115"/>
      <c r="G822" s="130"/>
      <c r="H822" s="118"/>
      <c r="I822" s="119"/>
      <c r="K822" s="84"/>
    </row>
    <row r="823" spans="1:11" s="16" customFormat="1" ht="10.5" customHeight="1">
      <c r="A823" s="113" t="s">
        <v>1109</v>
      </c>
      <c r="B823" s="103" t="s">
        <v>370</v>
      </c>
      <c r="C823" s="114" t="s">
        <v>439</v>
      </c>
      <c r="D823" s="115" t="s">
        <v>549</v>
      </c>
      <c r="E823" s="116">
        <v>0.634</v>
      </c>
      <c r="F823" s="115"/>
      <c r="G823" s="117"/>
      <c r="H823" s="118"/>
      <c r="I823" s="119"/>
      <c r="K823" s="84"/>
    </row>
    <row r="824" spans="1:11" s="16" customFormat="1" ht="10.5" customHeight="1">
      <c r="A824" s="113" t="s">
        <v>1110</v>
      </c>
      <c r="B824" s="103" t="s">
        <v>348</v>
      </c>
      <c r="C824" s="114">
        <v>26</v>
      </c>
      <c r="D824" s="115" t="s">
        <v>1107</v>
      </c>
      <c r="E824" s="116">
        <v>0.144</v>
      </c>
      <c r="F824" s="115"/>
      <c r="G824" s="117"/>
      <c r="H824" s="118"/>
      <c r="I824" s="119"/>
      <c r="K824" s="84"/>
    </row>
    <row r="825" spans="1:11" s="16" customFormat="1" ht="10.5" customHeight="1">
      <c r="A825" s="104"/>
      <c r="B825" s="104"/>
      <c r="C825" s="104"/>
      <c r="D825" s="104"/>
      <c r="E825" s="131"/>
      <c r="F825" s="104"/>
      <c r="G825" s="132"/>
      <c r="H825" s="133"/>
      <c r="I825" s="131"/>
      <c r="K825" s="84"/>
    </row>
    <row r="826" spans="1:11" s="92" customFormat="1" ht="10.5" customHeight="1">
      <c r="A826" s="104"/>
      <c r="B826" s="104"/>
      <c r="C826" s="104"/>
      <c r="D826" s="104"/>
      <c r="E826" s="131"/>
      <c r="F826" s="104"/>
      <c r="G826" s="132"/>
      <c r="H826" s="133"/>
      <c r="I826" s="131"/>
      <c r="K826" s="93"/>
    </row>
    <row r="827" spans="1:11" s="94" customFormat="1" ht="18.75" customHeight="1">
      <c r="A827" s="158" t="s">
        <v>1111</v>
      </c>
      <c r="B827" s="159"/>
      <c r="C827" s="159"/>
      <c r="D827" s="159"/>
      <c r="E827" s="159"/>
      <c r="F827" s="159"/>
      <c r="G827" s="159"/>
      <c r="H827" s="159"/>
      <c r="I827" s="160"/>
      <c r="K827" s="96"/>
    </row>
    <row r="828" spans="1:11" s="16" customFormat="1" ht="13.5" customHeight="1">
      <c r="A828" s="128"/>
      <c r="B828" s="109"/>
      <c r="C828" s="129" t="s">
        <v>1112</v>
      </c>
      <c r="D828" s="109"/>
      <c r="E828" s="106"/>
      <c r="F828" s="109"/>
      <c r="G828" s="112"/>
      <c r="H828" s="107"/>
      <c r="I828" s="108"/>
      <c r="K828" s="84"/>
    </row>
    <row r="829" spans="1:11" s="16" customFormat="1" ht="10.5" customHeight="1">
      <c r="A829" s="113" t="s">
        <v>1113</v>
      </c>
      <c r="B829" s="103" t="s">
        <v>348</v>
      </c>
      <c r="C829" s="114">
        <v>10</v>
      </c>
      <c r="D829" s="115"/>
      <c r="E829" s="116"/>
      <c r="F829" s="115" t="s">
        <v>1114</v>
      </c>
      <c r="G829" s="117">
        <f>2-0.002</f>
        <v>1.998</v>
      </c>
      <c r="H829" s="118"/>
      <c r="I829" s="119"/>
      <c r="K829" s="84"/>
    </row>
    <row r="830" spans="1:11" s="16" customFormat="1" ht="10.5" customHeight="1">
      <c r="A830" s="113" t="s">
        <v>1113</v>
      </c>
      <c r="B830" s="103" t="s">
        <v>348</v>
      </c>
      <c r="C830" s="114">
        <v>19</v>
      </c>
      <c r="D830" s="115"/>
      <c r="E830" s="116"/>
      <c r="F830" s="115" t="s">
        <v>1115</v>
      </c>
      <c r="G830" s="117">
        <f>5.97-2.2-0.09+21.98-0.023-1.6</f>
        <v>24.037</v>
      </c>
      <c r="H830" s="118"/>
      <c r="I830" s="119"/>
      <c r="K830" s="84"/>
    </row>
    <row r="831" spans="1:11" s="16" customFormat="1" ht="10.5" customHeight="1">
      <c r="A831" s="113" t="s">
        <v>1113</v>
      </c>
      <c r="B831" s="103" t="s">
        <v>348</v>
      </c>
      <c r="C831" s="114">
        <v>32</v>
      </c>
      <c r="D831" s="115"/>
      <c r="E831" s="116"/>
      <c r="F831" s="115"/>
      <c r="G831" s="117">
        <f>0.495-0.007-0.03-0.023-0.06</f>
        <v>0.37499999999999994</v>
      </c>
      <c r="H831" s="118"/>
      <c r="I831" s="119"/>
      <c r="K831" s="84"/>
    </row>
    <row r="832" spans="1:11" s="16" customFormat="1" ht="10.5" customHeight="1">
      <c r="A832" s="113" t="s">
        <v>1116</v>
      </c>
      <c r="B832" s="103" t="s">
        <v>348</v>
      </c>
      <c r="C832" s="114">
        <v>32</v>
      </c>
      <c r="D832" s="115"/>
      <c r="E832" s="116"/>
      <c r="F832" s="115"/>
      <c r="G832" s="117">
        <f>1.188-0.02</f>
        <v>1.168</v>
      </c>
      <c r="H832" s="118"/>
      <c r="I832" s="119"/>
      <c r="K832" s="84"/>
    </row>
    <row r="833" spans="1:11" s="16" customFormat="1" ht="10.5" customHeight="1">
      <c r="A833" s="113" t="s">
        <v>1113</v>
      </c>
      <c r="B833" s="103" t="s">
        <v>348</v>
      </c>
      <c r="C833" s="114">
        <v>45</v>
      </c>
      <c r="D833" s="115"/>
      <c r="E833" s="116"/>
      <c r="F833" s="115" t="s">
        <v>1117</v>
      </c>
      <c r="G833" s="117">
        <f>1.98-0.13-0.05-0.19-0.013-0.4</f>
        <v>1.197</v>
      </c>
      <c r="H833" s="118"/>
      <c r="I833" s="119"/>
      <c r="K833" s="84"/>
    </row>
    <row r="834" spans="1:11" s="16" customFormat="1" ht="10.5" customHeight="1">
      <c r="A834" s="113" t="s">
        <v>1113</v>
      </c>
      <c r="B834" s="103" t="s">
        <v>348</v>
      </c>
      <c r="C834" s="114">
        <v>47</v>
      </c>
      <c r="D834" s="115"/>
      <c r="E834" s="116"/>
      <c r="F834" s="115"/>
      <c r="G834" s="117">
        <f>2.92-0.22</f>
        <v>2.6999999999999997</v>
      </c>
      <c r="H834" s="118"/>
      <c r="I834" s="119"/>
      <c r="K834" s="84"/>
    </row>
    <row r="835" spans="1:11" s="16" customFormat="1" ht="10.5" customHeight="1">
      <c r="A835" s="113" t="s">
        <v>1113</v>
      </c>
      <c r="B835" s="103" t="s">
        <v>348</v>
      </c>
      <c r="C835" s="114">
        <v>65</v>
      </c>
      <c r="D835" s="115"/>
      <c r="E835" s="116"/>
      <c r="F835" s="115" t="s">
        <v>900</v>
      </c>
      <c r="G835" s="117">
        <f>9.16-0.052-1.54-0.157</f>
        <v>7.4110000000000005</v>
      </c>
      <c r="H835" s="118"/>
      <c r="I835" s="119"/>
      <c r="K835" s="84"/>
    </row>
    <row r="836" spans="1:11" s="16" customFormat="1" ht="10.5" customHeight="1">
      <c r="A836" s="113" t="s">
        <v>1118</v>
      </c>
      <c r="B836" s="103" t="s">
        <v>348</v>
      </c>
      <c r="C836" s="114">
        <v>70</v>
      </c>
      <c r="D836" s="115" t="s">
        <v>1119</v>
      </c>
      <c r="E836" s="116">
        <f>0.492-0.09-0.18</f>
        <v>0.22200000000000003</v>
      </c>
      <c r="F836" s="115"/>
      <c r="G836" s="117"/>
      <c r="H836" s="118"/>
      <c r="I836" s="119"/>
      <c r="K836" s="84"/>
    </row>
    <row r="837" spans="1:11" s="16" customFormat="1" ht="10.5" customHeight="1">
      <c r="A837" s="113" t="s">
        <v>1120</v>
      </c>
      <c r="B837" s="103" t="s">
        <v>348</v>
      </c>
      <c r="C837" s="114">
        <v>70</v>
      </c>
      <c r="D837" s="115" t="s">
        <v>1121</v>
      </c>
      <c r="E837" s="116">
        <f>0.374+2.69-1.55</f>
        <v>1.514</v>
      </c>
      <c r="F837" s="115" t="s">
        <v>1122</v>
      </c>
      <c r="G837" s="117">
        <f>4.38-0.13</f>
        <v>4.25</v>
      </c>
      <c r="H837" s="118"/>
      <c r="I837" s="119"/>
      <c r="K837" s="84"/>
    </row>
    <row r="838" spans="1:11" s="16" customFormat="1" ht="10.5" customHeight="1">
      <c r="A838" s="113" t="s">
        <v>1116</v>
      </c>
      <c r="B838" s="103" t="s">
        <v>348</v>
      </c>
      <c r="C838" s="114">
        <v>70</v>
      </c>
      <c r="D838" s="115"/>
      <c r="E838" s="116"/>
      <c r="F838" s="115" t="s">
        <v>1123</v>
      </c>
      <c r="G838" s="117">
        <v>0.36</v>
      </c>
      <c r="H838" s="118"/>
      <c r="I838" s="119"/>
      <c r="K838" s="84"/>
    </row>
    <row r="839" spans="1:11" s="16" customFormat="1" ht="10.5" customHeight="1">
      <c r="A839" s="113" t="s">
        <v>1113</v>
      </c>
      <c r="B839" s="103" t="s">
        <v>348</v>
      </c>
      <c r="C839" s="114">
        <v>100</v>
      </c>
      <c r="D839" s="115" t="s">
        <v>900</v>
      </c>
      <c r="E839" s="116">
        <f>2.098-0.124-0.124-0.124-0.062</f>
        <v>1.6639999999999995</v>
      </c>
      <c r="F839" s="115"/>
      <c r="G839" s="117"/>
      <c r="H839" s="118"/>
      <c r="I839" s="119"/>
      <c r="K839" s="84"/>
    </row>
    <row r="840" spans="1:11" s="16" customFormat="1" ht="10.5" customHeight="1">
      <c r="A840" s="113" t="s">
        <v>1113</v>
      </c>
      <c r="B840" s="103" t="s">
        <v>348</v>
      </c>
      <c r="C840" s="114">
        <v>110</v>
      </c>
      <c r="D840" s="115"/>
      <c r="E840" s="116">
        <f>0.456-0.24-0.008-0.038</f>
        <v>0.17</v>
      </c>
      <c r="F840" s="115"/>
      <c r="G840" s="117"/>
      <c r="H840" s="118"/>
      <c r="I840" s="119"/>
      <c r="K840" s="84"/>
    </row>
    <row r="841" spans="1:11" s="16" customFormat="1" ht="10.5" customHeight="1">
      <c r="A841" s="113" t="s">
        <v>1116</v>
      </c>
      <c r="B841" s="103" t="s">
        <v>348</v>
      </c>
      <c r="C841" s="114">
        <v>200</v>
      </c>
      <c r="D841" s="115" t="s">
        <v>1124</v>
      </c>
      <c r="E841" s="116">
        <f>1.664-0.274-0.02-0.13</f>
        <v>1.2399999999999998</v>
      </c>
      <c r="F841" s="115"/>
      <c r="G841" s="117"/>
      <c r="H841" s="118"/>
      <c r="I841" s="119"/>
      <c r="K841" s="84"/>
    </row>
    <row r="842" spans="1:11" s="16" customFormat="1" ht="10.5" customHeight="1">
      <c r="A842" s="113" t="s">
        <v>1113</v>
      </c>
      <c r="B842" s="103" t="s">
        <v>364</v>
      </c>
      <c r="C842" s="114" t="s">
        <v>1125</v>
      </c>
      <c r="D842" s="115"/>
      <c r="E842" s="116"/>
      <c r="F842" s="115" t="s">
        <v>1126</v>
      </c>
      <c r="G842" s="117">
        <f>2.001-0.04</f>
        <v>1.9609999999999999</v>
      </c>
      <c r="H842" s="118"/>
      <c r="I842" s="119"/>
      <c r="K842" s="84"/>
    </row>
    <row r="843" spans="1:11" s="16" customFormat="1" ht="10.5" customHeight="1">
      <c r="A843" s="113" t="s">
        <v>1127</v>
      </c>
      <c r="B843" s="103" t="s">
        <v>348</v>
      </c>
      <c r="C843" s="114">
        <v>32</v>
      </c>
      <c r="D843" s="115"/>
      <c r="E843" s="116"/>
      <c r="F843" s="115"/>
      <c r="G843" s="117">
        <f>1.34-0.027</f>
        <v>1.3130000000000002</v>
      </c>
      <c r="H843" s="118"/>
      <c r="I843" s="119"/>
      <c r="K843" s="84"/>
    </row>
    <row r="844" spans="1:11" s="16" customFormat="1" ht="10.5" customHeight="1">
      <c r="A844" s="113" t="s">
        <v>1128</v>
      </c>
      <c r="B844" s="103" t="s">
        <v>348</v>
      </c>
      <c r="C844" s="114">
        <v>70</v>
      </c>
      <c r="D844" s="115"/>
      <c r="E844" s="116">
        <v>0.09</v>
      </c>
      <c r="F844" s="115"/>
      <c r="G844" s="117"/>
      <c r="H844" s="118"/>
      <c r="I844" s="119"/>
      <c r="K844" s="84"/>
    </row>
    <row r="845" spans="1:11" s="16" customFormat="1" ht="10.5" customHeight="1">
      <c r="A845" s="113" t="s">
        <v>1128</v>
      </c>
      <c r="B845" s="103" t="s">
        <v>348</v>
      </c>
      <c r="C845" s="114">
        <v>75</v>
      </c>
      <c r="D845" s="115" t="s">
        <v>488</v>
      </c>
      <c r="E845" s="116">
        <f>0.242-0.122</f>
        <v>0.12</v>
      </c>
      <c r="F845" s="115"/>
      <c r="G845" s="117"/>
      <c r="H845" s="118"/>
      <c r="I845" s="119"/>
      <c r="K845" s="84"/>
    </row>
    <row r="846" spans="1:11" s="16" customFormat="1" ht="10.5" customHeight="1">
      <c r="A846" s="113" t="s">
        <v>1129</v>
      </c>
      <c r="B846" s="103" t="s">
        <v>348</v>
      </c>
      <c r="C846" s="114">
        <v>100</v>
      </c>
      <c r="D846" s="115" t="s">
        <v>936</v>
      </c>
      <c r="E846" s="116">
        <v>0.42</v>
      </c>
      <c r="F846" s="115"/>
      <c r="G846" s="117"/>
      <c r="H846" s="118"/>
      <c r="I846" s="119"/>
      <c r="K846" s="84"/>
    </row>
    <row r="847" spans="1:11" s="16" customFormat="1" ht="10.5" customHeight="1">
      <c r="A847" s="113" t="s">
        <v>1127</v>
      </c>
      <c r="B847" s="103" t="s">
        <v>348</v>
      </c>
      <c r="C847" s="114">
        <v>130</v>
      </c>
      <c r="D847" s="115"/>
      <c r="E847" s="116"/>
      <c r="F847" s="115"/>
      <c r="G847" s="117">
        <f>0.58-0.039</f>
        <v>0.5409999999999999</v>
      </c>
      <c r="H847" s="118"/>
      <c r="I847" s="119"/>
      <c r="K847" s="84"/>
    </row>
    <row r="848" spans="1:11" s="16" customFormat="1" ht="10.5" customHeight="1">
      <c r="A848" s="113" t="s">
        <v>1130</v>
      </c>
      <c r="B848" s="103" t="s">
        <v>348</v>
      </c>
      <c r="C848" s="114" t="s">
        <v>1131</v>
      </c>
      <c r="D848" s="115"/>
      <c r="E848" s="116">
        <v>0.048</v>
      </c>
      <c r="F848" s="115"/>
      <c r="G848" s="117"/>
      <c r="H848" s="118"/>
      <c r="I848" s="119"/>
      <c r="K848" s="84"/>
    </row>
    <row r="849" spans="1:11" s="16" customFormat="1" ht="10.5" customHeight="1">
      <c r="A849" s="113" t="s">
        <v>1130</v>
      </c>
      <c r="B849" s="103" t="s">
        <v>348</v>
      </c>
      <c r="C849" s="114" t="s">
        <v>1132</v>
      </c>
      <c r="D849" s="115"/>
      <c r="E849" s="116">
        <f>0.378-0.028-0.03</f>
        <v>0.31999999999999995</v>
      </c>
      <c r="F849" s="115"/>
      <c r="G849" s="117"/>
      <c r="H849" s="118"/>
      <c r="I849" s="119"/>
      <c r="K849" s="84"/>
    </row>
    <row r="850" spans="1:11" s="16" customFormat="1" ht="10.5" customHeight="1">
      <c r="A850" s="113" t="s">
        <v>1130</v>
      </c>
      <c r="B850" s="103" t="s">
        <v>348</v>
      </c>
      <c r="C850" s="114">
        <v>22</v>
      </c>
      <c r="D850" s="115"/>
      <c r="E850" s="116"/>
      <c r="F850" s="115"/>
      <c r="G850" s="117">
        <f>7.582-0.018-0.11-0.3</f>
        <v>7.154</v>
      </c>
      <c r="H850" s="118"/>
      <c r="I850" s="119"/>
      <c r="K850" s="84"/>
    </row>
    <row r="851" spans="1:11" s="16" customFormat="1" ht="10.5" customHeight="1">
      <c r="A851" s="113" t="s">
        <v>1130</v>
      </c>
      <c r="B851" s="103" t="s">
        <v>348</v>
      </c>
      <c r="C851" s="114">
        <v>36</v>
      </c>
      <c r="D851" s="115"/>
      <c r="E851" s="116">
        <f>0.65-0.004-0.012+1.94-0.076-0.292-0.816-0.39-0.118</f>
        <v>0.882</v>
      </c>
      <c r="F851" s="115"/>
      <c r="G851" s="117"/>
      <c r="H851" s="118"/>
      <c r="I851" s="119"/>
      <c r="K851" s="84"/>
    </row>
    <row r="852" spans="1:11" s="16" customFormat="1" ht="10.5" customHeight="1">
      <c r="A852" s="113" t="s">
        <v>1130</v>
      </c>
      <c r="B852" s="103" t="s">
        <v>348</v>
      </c>
      <c r="C852" s="114">
        <v>42</v>
      </c>
      <c r="D852" s="115"/>
      <c r="E852" s="116"/>
      <c r="F852" s="115" t="s">
        <v>1133</v>
      </c>
      <c r="G852" s="117">
        <f>8.555-1.15-0.34-0.71-0.48-0.033-0.7-0.29</f>
        <v>4.851999999999999</v>
      </c>
      <c r="H852" s="118"/>
      <c r="I852" s="119"/>
      <c r="K852" s="84"/>
    </row>
    <row r="853" spans="1:11" s="16" customFormat="1" ht="10.5" customHeight="1">
      <c r="A853" s="113" t="s">
        <v>1130</v>
      </c>
      <c r="B853" s="103" t="s">
        <v>348</v>
      </c>
      <c r="C853" s="114">
        <v>100</v>
      </c>
      <c r="D853" s="115" t="s">
        <v>405</v>
      </c>
      <c r="E853" s="116">
        <f>2.47-0.28</f>
        <v>2.1900000000000004</v>
      </c>
      <c r="F853" s="115"/>
      <c r="G853" s="117"/>
      <c r="H853" s="118"/>
      <c r="I853" s="119"/>
      <c r="K853" s="84"/>
    </row>
    <row r="854" spans="1:11" s="16" customFormat="1" ht="10.5" customHeight="1">
      <c r="A854" s="113" t="s">
        <v>1130</v>
      </c>
      <c r="B854" s="103" t="s">
        <v>348</v>
      </c>
      <c r="C854" s="114">
        <v>140</v>
      </c>
      <c r="D854" s="115" t="s">
        <v>405</v>
      </c>
      <c r="E854" s="116">
        <f>1.78-0.17</f>
        <v>1.61</v>
      </c>
      <c r="F854" s="115"/>
      <c r="G854" s="117"/>
      <c r="H854" s="118"/>
      <c r="I854" s="119"/>
      <c r="K854" s="84"/>
    </row>
    <row r="855" spans="1:11" s="16" customFormat="1" ht="10.5" customHeight="1">
      <c r="A855" s="113" t="s">
        <v>1130</v>
      </c>
      <c r="B855" s="103" t="s">
        <v>348</v>
      </c>
      <c r="C855" s="114">
        <v>170</v>
      </c>
      <c r="D855" s="115"/>
      <c r="E855" s="116">
        <f>2.77-0.182-1.64-0.092</f>
        <v>0.8560000000000002</v>
      </c>
      <c r="F855" s="115"/>
      <c r="G855" s="117"/>
      <c r="H855" s="118"/>
      <c r="I855" s="119"/>
      <c r="K855" s="84"/>
    </row>
    <row r="856" spans="1:11" s="16" customFormat="1" ht="10.5" customHeight="1">
      <c r="A856" s="113" t="s">
        <v>1130</v>
      </c>
      <c r="B856" s="103" t="s">
        <v>348</v>
      </c>
      <c r="C856" s="114">
        <v>180</v>
      </c>
      <c r="D856" s="115" t="s">
        <v>1134</v>
      </c>
      <c r="E856" s="116">
        <f>2.512-1.28-0.034</f>
        <v>1.198</v>
      </c>
      <c r="F856" s="115"/>
      <c r="G856" s="117"/>
      <c r="H856" s="118"/>
      <c r="I856" s="119"/>
      <c r="K856" s="84"/>
    </row>
    <row r="857" spans="1:11" s="16" customFormat="1" ht="10.5" customHeight="1">
      <c r="A857" s="113" t="s">
        <v>1130</v>
      </c>
      <c r="B857" s="103" t="s">
        <v>348</v>
      </c>
      <c r="C857" s="114">
        <v>190</v>
      </c>
      <c r="D857" s="115"/>
      <c r="E857" s="116"/>
      <c r="F857" s="115"/>
      <c r="G857" s="117"/>
      <c r="H857" s="118">
        <v>5.9</v>
      </c>
      <c r="I857" s="119"/>
      <c r="K857" s="84"/>
    </row>
    <row r="858" spans="1:11" s="16" customFormat="1" ht="10.5" customHeight="1">
      <c r="A858" s="113" t="s">
        <v>1135</v>
      </c>
      <c r="B858" s="103" t="s">
        <v>348</v>
      </c>
      <c r="C858" s="114">
        <v>120</v>
      </c>
      <c r="D858" s="115"/>
      <c r="E858" s="116"/>
      <c r="F858" s="115"/>
      <c r="G858" s="117">
        <v>0.965</v>
      </c>
      <c r="H858" s="118"/>
      <c r="I858" s="119"/>
      <c r="K858" s="84"/>
    </row>
    <row r="859" spans="1:11" s="16" customFormat="1" ht="10.5" customHeight="1">
      <c r="A859" s="113" t="s">
        <v>1136</v>
      </c>
      <c r="B859" s="103" t="s">
        <v>348</v>
      </c>
      <c r="C859" s="114" t="s">
        <v>1137</v>
      </c>
      <c r="D859" s="115"/>
      <c r="E859" s="116">
        <f>0.9-0.06</f>
        <v>0.8400000000000001</v>
      </c>
      <c r="F859" s="115"/>
      <c r="G859" s="117"/>
      <c r="H859" s="118"/>
      <c r="I859" s="119"/>
      <c r="K859" s="84"/>
    </row>
    <row r="860" spans="1:11" s="86" customFormat="1" ht="10.5" customHeight="1">
      <c r="A860" s="113" t="s">
        <v>1136</v>
      </c>
      <c r="B860" s="103" t="s">
        <v>348</v>
      </c>
      <c r="C860" s="114">
        <v>20</v>
      </c>
      <c r="D860" s="115" t="s">
        <v>447</v>
      </c>
      <c r="E860" s="116">
        <f>1.34-0.082</f>
        <v>1.258</v>
      </c>
      <c r="F860" s="115" t="s">
        <v>1138</v>
      </c>
      <c r="G860" s="117">
        <f>3.703-0.045-0.015-0.21-0.005-0.005-0.059-0.015-0.015</f>
        <v>3.3339999999999996</v>
      </c>
      <c r="H860" s="118"/>
      <c r="I860" s="119"/>
      <c r="K860" s="88"/>
    </row>
    <row r="861" spans="1:11" s="16" customFormat="1" ht="10.5" customHeight="1">
      <c r="A861" s="113" t="s">
        <v>1136</v>
      </c>
      <c r="B861" s="103" t="s">
        <v>348</v>
      </c>
      <c r="C861" s="114">
        <v>22</v>
      </c>
      <c r="D861" s="115"/>
      <c r="E861" s="116"/>
      <c r="F861" s="115" t="s">
        <v>1139</v>
      </c>
      <c r="G861" s="117">
        <f>14.134-0.31-0.02-0.009-0.16-0.04-0.65</f>
        <v>12.945</v>
      </c>
      <c r="H861" s="118"/>
      <c r="I861" s="119"/>
      <c r="K861" s="84"/>
    </row>
    <row r="862" spans="1:11" s="16" customFormat="1" ht="10.5" customHeight="1">
      <c r="A862" s="113" t="s">
        <v>1136</v>
      </c>
      <c r="B862" s="103" t="s">
        <v>348</v>
      </c>
      <c r="C862" s="114">
        <v>25</v>
      </c>
      <c r="D862" s="115"/>
      <c r="E862" s="116"/>
      <c r="F862" s="115"/>
      <c r="G862" s="117">
        <f>1.184-0.255-0.02-0.019-0.05-0.395-0.019</f>
        <v>0.4259999999999998</v>
      </c>
      <c r="H862" s="118"/>
      <c r="I862" s="119">
        <v>0.108</v>
      </c>
      <c r="K862" s="84"/>
    </row>
    <row r="863" spans="1:11" s="16" customFormat="1" ht="10.5" customHeight="1">
      <c r="A863" s="113" t="s">
        <v>1136</v>
      </c>
      <c r="B863" s="103" t="s">
        <v>348</v>
      </c>
      <c r="C863" s="114">
        <v>30</v>
      </c>
      <c r="D863" s="115"/>
      <c r="E863" s="116">
        <f>1.33-0.1-0.012</f>
        <v>1.218</v>
      </c>
      <c r="F863" s="115"/>
      <c r="G863" s="117"/>
      <c r="H863" s="118"/>
      <c r="I863" s="119">
        <v>1</v>
      </c>
      <c r="K863" s="84"/>
    </row>
    <row r="864" spans="1:11" s="86" customFormat="1" ht="10.5" customHeight="1">
      <c r="A864" s="113" t="s">
        <v>1136</v>
      </c>
      <c r="B864" s="103" t="s">
        <v>348</v>
      </c>
      <c r="C864" s="114">
        <v>32</v>
      </c>
      <c r="D864" s="115"/>
      <c r="E864" s="116"/>
      <c r="F864" s="115"/>
      <c r="G864" s="117">
        <f>4.785-0.057-0.082-0.09-0.235</f>
        <v>4.321</v>
      </c>
      <c r="H864" s="118"/>
      <c r="I864" s="119"/>
      <c r="K864" s="88"/>
    </row>
    <row r="865" spans="1:11" s="16" customFormat="1" ht="10.5" customHeight="1">
      <c r="A865" s="113" t="s">
        <v>1136</v>
      </c>
      <c r="B865" s="103" t="s">
        <v>348</v>
      </c>
      <c r="C865" s="114">
        <v>38</v>
      </c>
      <c r="D865" s="115"/>
      <c r="E865" s="116"/>
      <c r="F865" s="115"/>
      <c r="G865" s="117">
        <f>10.1-0.06-0.115-0.17-0.11</f>
        <v>9.645</v>
      </c>
      <c r="H865" s="118"/>
      <c r="I865" s="119">
        <v>0.03</v>
      </c>
      <c r="K865" s="84"/>
    </row>
    <row r="866" spans="1:11" s="16" customFormat="1" ht="10.5" customHeight="1">
      <c r="A866" s="113" t="s">
        <v>1136</v>
      </c>
      <c r="B866" s="103" t="s">
        <v>348</v>
      </c>
      <c r="C866" s="114">
        <v>48</v>
      </c>
      <c r="D866" s="115" t="s">
        <v>671</v>
      </c>
      <c r="E866" s="116">
        <f>4.424-0.064</f>
        <v>4.36</v>
      </c>
      <c r="F866" s="115"/>
      <c r="G866" s="117"/>
      <c r="H866" s="118"/>
      <c r="I866" s="119"/>
      <c r="K866" s="84"/>
    </row>
    <row r="867" spans="1:11" s="16" customFormat="1" ht="10.5" customHeight="1">
      <c r="A867" s="113" t="s">
        <v>1136</v>
      </c>
      <c r="B867" s="103" t="s">
        <v>348</v>
      </c>
      <c r="C867" s="114">
        <v>50</v>
      </c>
      <c r="D867" s="115" t="s">
        <v>724</v>
      </c>
      <c r="E867" s="116">
        <v>0.044</v>
      </c>
      <c r="F867" s="115" t="s">
        <v>1140</v>
      </c>
      <c r="G867" s="117">
        <f>0.843-0.062-0.047-0.075-0.033-0.2-0.12-0.15</f>
        <v>0.1559999999999999</v>
      </c>
      <c r="H867" s="118"/>
      <c r="I867" s="119"/>
      <c r="K867" s="84"/>
    </row>
    <row r="868" spans="1:11" s="16" customFormat="1" ht="10.5" customHeight="1">
      <c r="A868" s="113" t="s">
        <v>1136</v>
      </c>
      <c r="B868" s="103" t="s">
        <v>348</v>
      </c>
      <c r="C868" s="114">
        <v>56</v>
      </c>
      <c r="D868" s="115" t="s">
        <v>1141</v>
      </c>
      <c r="E868" s="116">
        <f>0.46+0.94-0.06-0.42-0.46</f>
        <v>0.4599999999999999</v>
      </c>
      <c r="F868" s="115"/>
      <c r="G868" s="117"/>
      <c r="H868" s="118"/>
      <c r="I868" s="119">
        <v>0.46</v>
      </c>
      <c r="K868" s="84"/>
    </row>
    <row r="869" spans="1:11" s="16" customFormat="1" ht="10.5" customHeight="1">
      <c r="A869" s="113" t="s">
        <v>1136</v>
      </c>
      <c r="B869" s="103" t="s">
        <v>348</v>
      </c>
      <c r="C869" s="114">
        <v>60</v>
      </c>
      <c r="D869" s="115" t="s">
        <v>1142</v>
      </c>
      <c r="E869" s="116">
        <f>2.574-0.112-0.296-0.224+2.86-0.086-0.326-1.5</f>
        <v>2.8899999999999997</v>
      </c>
      <c r="F869" s="115" t="s">
        <v>1143</v>
      </c>
      <c r="G869" s="117">
        <v>0.772</v>
      </c>
      <c r="H869" s="118"/>
      <c r="I869" s="119"/>
      <c r="K869" s="84"/>
    </row>
    <row r="870" spans="1:11" s="16" customFormat="1" ht="10.5" customHeight="1">
      <c r="A870" s="113" t="s">
        <v>1136</v>
      </c>
      <c r="B870" s="103" t="s">
        <v>348</v>
      </c>
      <c r="C870" s="114">
        <v>65</v>
      </c>
      <c r="D870" s="115"/>
      <c r="E870" s="124">
        <v>3.6</v>
      </c>
      <c r="F870" s="115"/>
      <c r="G870" s="117"/>
      <c r="H870" s="125"/>
      <c r="I870" s="119"/>
      <c r="K870" s="85"/>
    </row>
    <row r="871" spans="1:11" s="86" customFormat="1" ht="10.5" customHeight="1">
      <c r="A871" s="113" t="s">
        <v>1136</v>
      </c>
      <c r="B871" s="103" t="s">
        <v>348</v>
      </c>
      <c r="C871" s="114">
        <v>70</v>
      </c>
      <c r="D871" s="115"/>
      <c r="E871" s="116"/>
      <c r="F871" s="115" t="s">
        <v>1144</v>
      </c>
      <c r="G871" s="117">
        <f>4.35-0.085-0.148-0.43-0.14-0.155-0.097-0.1</f>
        <v>3.195</v>
      </c>
      <c r="H871" s="118"/>
      <c r="I871" s="119"/>
      <c r="K871" s="88"/>
    </row>
    <row r="872" spans="1:11" s="16" customFormat="1" ht="10.5" customHeight="1">
      <c r="A872" s="113" t="s">
        <v>1136</v>
      </c>
      <c r="B872" s="103" t="s">
        <v>348</v>
      </c>
      <c r="C872" s="114">
        <v>75</v>
      </c>
      <c r="D872" s="115"/>
      <c r="E872" s="124">
        <v>3.4</v>
      </c>
      <c r="F872" s="115"/>
      <c r="G872" s="117"/>
      <c r="H872" s="125"/>
      <c r="I872" s="119"/>
      <c r="K872" s="85"/>
    </row>
    <row r="873" spans="1:11" s="16" customFormat="1" ht="10.5" customHeight="1">
      <c r="A873" s="113" t="s">
        <v>1136</v>
      </c>
      <c r="B873" s="103" t="s">
        <v>348</v>
      </c>
      <c r="C873" s="114">
        <v>80</v>
      </c>
      <c r="D873" s="115"/>
      <c r="E873" s="116">
        <f>2.85-0.08-1.594-0.322-0.052-0.476-0.116-0.08+0.696-0.696</f>
        <v>0.1299999999999999</v>
      </c>
      <c r="F873" s="115"/>
      <c r="G873" s="117"/>
      <c r="H873" s="118"/>
      <c r="I873" s="119"/>
      <c r="K873" s="84"/>
    </row>
    <row r="874" spans="1:11" s="16" customFormat="1" ht="10.5" customHeight="1">
      <c r="A874" s="113" t="s">
        <v>1136</v>
      </c>
      <c r="B874" s="103" t="s">
        <v>348</v>
      </c>
      <c r="C874" s="114">
        <v>100</v>
      </c>
      <c r="D874" s="115" t="s">
        <v>1145</v>
      </c>
      <c r="E874" s="116">
        <f>3.22+1.25-0.062-0.24</f>
        <v>4.168</v>
      </c>
      <c r="F874" s="115" t="s">
        <v>1146</v>
      </c>
      <c r="G874" s="117">
        <f>4.487-0.315-0.125-0.4</f>
        <v>3.647</v>
      </c>
      <c r="H874" s="118"/>
      <c r="I874" s="119"/>
      <c r="K874" s="84"/>
    </row>
    <row r="875" spans="1:11" s="86" customFormat="1" ht="10.5" customHeight="1">
      <c r="A875" s="113" t="s">
        <v>1136</v>
      </c>
      <c r="B875" s="103" t="s">
        <v>348</v>
      </c>
      <c r="C875" s="114">
        <v>120</v>
      </c>
      <c r="D875" s="115"/>
      <c r="E875" s="116"/>
      <c r="F875" s="115" t="s">
        <v>1147</v>
      </c>
      <c r="G875" s="117">
        <f>0.724-0.5</f>
        <v>0.22399999999999998</v>
      </c>
      <c r="H875" s="118"/>
      <c r="I875" s="119">
        <v>0.392</v>
      </c>
      <c r="K875" s="88"/>
    </row>
    <row r="876" spans="1:11" s="16" customFormat="1" ht="10.5" customHeight="1">
      <c r="A876" s="113" t="s">
        <v>1136</v>
      </c>
      <c r="B876" s="103" t="s">
        <v>348</v>
      </c>
      <c r="C876" s="114">
        <v>140</v>
      </c>
      <c r="D876" s="115" t="s">
        <v>1148</v>
      </c>
      <c r="E876" s="116">
        <f>0.42+1.37-0.114-0.264-0.2+2.68</f>
        <v>3.8920000000000003</v>
      </c>
      <c r="F876" s="115" t="s">
        <v>1149</v>
      </c>
      <c r="G876" s="117">
        <v>0.431</v>
      </c>
      <c r="H876" s="118"/>
      <c r="I876" s="119"/>
      <c r="K876" s="84"/>
    </row>
    <row r="877" spans="1:11" s="86" customFormat="1" ht="10.5" customHeight="1">
      <c r="A877" s="113" t="s">
        <v>1136</v>
      </c>
      <c r="B877" s="103" t="s">
        <v>348</v>
      </c>
      <c r="C877" s="114" t="s">
        <v>482</v>
      </c>
      <c r="D877" s="115"/>
      <c r="E877" s="116"/>
      <c r="F877" s="115" t="s">
        <v>1150</v>
      </c>
      <c r="G877" s="117">
        <v>0.15</v>
      </c>
      <c r="H877" s="118"/>
      <c r="I877" s="119"/>
      <c r="K877" s="88"/>
    </row>
    <row r="878" spans="1:11" s="86" customFormat="1" ht="10.5" customHeight="1">
      <c r="A878" s="113" t="s">
        <v>1136</v>
      </c>
      <c r="B878" s="103" t="s">
        <v>348</v>
      </c>
      <c r="C878" s="114">
        <v>145</v>
      </c>
      <c r="D878" s="115"/>
      <c r="E878" s="116"/>
      <c r="F878" s="115" t="s">
        <v>549</v>
      </c>
      <c r="G878" s="117">
        <v>0.275</v>
      </c>
      <c r="H878" s="118"/>
      <c r="I878" s="119"/>
      <c r="K878" s="88"/>
    </row>
    <row r="879" spans="1:11" s="16" customFormat="1" ht="10.5" customHeight="1">
      <c r="A879" s="113" t="s">
        <v>1136</v>
      </c>
      <c r="B879" s="103" t="s">
        <v>348</v>
      </c>
      <c r="C879" s="114">
        <v>150</v>
      </c>
      <c r="D879" s="115"/>
      <c r="E879" s="116"/>
      <c r="F879" s="115" t="s">
        <v>754</v>
      </c>
      <c r="G879" s="117">
        <f>3.15-0.07-0.555-0.458-0.458</f>
        <v>1.6089999999999998</v>
      </c>
      <c r="H879" s="118"/>
      <c r="I879" s="119"/>
      <c r="K879" s="84"/>
    </row>
    <row r="880" spans="1:11" s="16" customFormat="1" ht="10.5" customHeight="1">
      <c r="A880" s="113" t="s">
        <v>1136</v>
      </c>
      <c r="B880" s="103" t="s">
        <v>348</v>
      </c>
      <c r="C880" s="114">
        <v>170</v>
      </c>
      <c r="D880" s="115" t="s">
        <v>1151</v>
      </c>
      <c r="E880" s="116">
        <f>0.77-0.256-0.074</f>
        <v>0.44</v>
      </c>
      <c r="F880" s="115"/>
      <c r="G880" s="117"/>
      <c r="H880" s="118"/>
      <c r="I880" s="119"/>
      <c r="K880" s="84"/>
    </row>
    <row r="881" spans="1:11" s="16" customFormat="1" ht="10.5" customHeight="1">
      <c r="A881" s="113" t="s">
        <v>1136</v>
      </c>
      <c r="B881" s="103" t="s">
        <v>348</v>
      </c>
      <c r="C881" s="114">
        <v>220</v>
      </c>
      <c r="D881" s="115" t="s">
        <v>1152</v>
      </c>
      <c r="E881" s="116">
        <f>2.068-0.092-0.078-0.06-0.078-0.046-1.212-0.034-0.212</f>
        <v>0.2559999999999998</v>
      </c>
      <c r="F881" s="115"/>
      <c r="G881" s="122"/>
      <c r="H881" s="118"/>
      <c r="I881" s="119"/>
      <c r="K881" s="84"/>
    </row>
    <row r="882" spans="1:11" s="16" customFormat="1" ht="10.5" customHeight="1">
      <c r="A882" s="113" t="s">
        <v>1136</v>
      </c>
      <c r="B882" s="103" t="s">
        <v>348</v>
      </c>
      <c r="C882" s="114" t="s">
        <v>1153</v>
      </c>
      <c r="D882" s="115" t="s">
        <v>946</v>
      </c>
      <c r="E882" s="116">
        <f>1.88-0.024-0.08-0.288-0.424</f>
        <v>1.0639999999999998</v>
      </c>
      <c r="F882" s="115"/>
      <c r="G882" s="122"/>
      <c r="H882" s="118"/>
      <c r="I882" s="119"/>
      <c r="K882" s="84"/>
    </row>
    <row r="883" spans="1:11" s="16" customFormat="1" ht="10.5" customHeight="1">
      <c r="A883" s="113" t="s">
        <v>1136</v>
      </c>
      <c r="B883" s="103" t="s">
        <v>348</v>
      </c>
      <c r="C883" s="114">
        <v>250</v>
      </c>
      <c r="D883" s="115" t="s">
        <v>1154</v>
      </c>
      <c r="E883" s="116">
        <f>3.64-0.506-0.236-0.048</f>
        <v>2.8500000000000005</v>
      </c>
      <c r="F883" s="115"/>
      <c r="G883" s="117"/>
      <c r="H883" s="118"/>
      <c r="I883" s="119"/>
      <c r="K883" s="84"/>
    </row>
    <row r="884" spans="1:11" s="16" customFormat="1" ht="10.5" customHeight="1">
      <c r="A884" s="113" t="s">
        <v>1136</v>
      </c>
      <c r="B884" s="103" t="s">
        <v>370</v>
      </c>
      <c r="C884" s="114" t="s">
        <v>1155</v>
      </c>
      <c r="D884" s="115"/>
      <c r="E884" s="116"/>
      <c r="F884" s="115" t="s">
        <v>442</v>
      </c>
      <c r="G884" s="117">
        <f>11.914-2.66-0.522</f>
        <v>8.732</v>
      </c>
      <c r="H884" s="118"/>
      <c r="I884" s="119"/>
      <c r="K884" s="84"/>
    </row>
    <row r="885" spans="1:11" s="16" customFormat="1" ht="10.5" customHeight="1">
      <c r="A885" s="113" t="s">
        <v>1136</v>
      </c>
      <c r="B885" s="103" t="s">
        <v>399</v>
      </c>
      <c r="C885" s="114" t="s">
        <v>1156</v>
      </c>
      <c r="D885" s="115"/>
      <c r="E885" s="116"/>
      <c r="F885" s="115" t="s">
        <v>1157</v>
      </c>
      <c r="G885" s="117">
        <f>2.005-1.06</f>
        <v>0.9449999999999998</v>
      </c>
      <c r="H885" s="118"/>
      <c r="I885" s="119"/>
      <c r="K885" s="84"/>
    </row>
    <row r="886" spans="1:11" s="16" customFormat="1" ht="10.5" customHeight="1">
      <c r="A886" s="113" t="s">
        <v>1136</v>
      </c>
      <c r="B886" s="103" t="s">
        <v>399</v>
      </c>
      <c r="C886" s="114" t="s">
        <v>1158</v>
      </c>
      <c r="D886" s="115"/>
      <c r="E886" s="116"/>
      <c r="F886" s="115" t="s">
        <v>1157</v>
      </c>
      <c r="G886" s="117">
        <v>3.062</v>
      </c>
      <c r="H886" s="118"/>
      <c r="I886" s="119"/>
      <c r="K886" s="84"/>
    </row>
    <row r="887" spans="1:11" s="16" customFormat="1" ht="10.5" customHeight="1">
      <c r="A887" s="113" t="s">
        <v>1136</v>
      </c>
      <c r="B887" s="103" t="s">
        <v>399</v>
      </c>
      <c r="C887" s="114" t="s">
        <v>1159</v>
      </c>
      <c r="D887" s="115"/>
      <c r="E887" s="116"/>
      <c r="F887" s="115" t="s">
        <v>1160</v>
      </c>
      <c r="G887" s="117">
        <v>1.042</v>
      </c>
      <c r="H887" s="118"/>
      <c r="I887" s="119"/>
      <c r="K887" s="84"/>
    </row>
    <row r="888" spans="1:11" s="16" customFormat="1" ht="10.5" customHeight="1">
      <c r="A888" s="113" t="s">
        <v>1136</v>
      </c>
      <c r="B888" s="103" t="s">
        <v>364</v>
      </c>
      <c r="C888" s="114" t="s">
        <v>1161</v>
      </c>
      <c r="D888" s="115"/>
      <c r="E888" s="116"/>
      <c r="F888" s="115" t="s">
        <v>902</v>
      </c>
      <c r="G888" s="117">
        <f>6.875-0.39-0.4-0.23-0.38-0.53-0.434</f>
        <v>4.510999999999999</v>
      </c>
      <c r="H888" s="118"/>
      <c r="I888" s="119"/>
      <c r="K888" s="84"/>
    </row>
    <row r="889" spans="1:11" s="16" customFormat="1" ht="10.5" customHeight="1">
      <c r="A889" s="113" t="s">
        <v>1136</v>
      </c>
      <c r="B889" s="103" t="s">
        <v>364</v>
      </c>
      <c r="C889" s="114" t="s">
        <v>1162</v>
      </c>
      <c r="D889" s="115"/>
      <c r="E889" s="116"/>
      <c r="F889" s="115" t="s">
        <v>1163</v>
      </c>
      <c r="G889" s="117">
        <v>0.305</v>
      </c>
      <c r="H889" s="118"/>
      <c r="I889" s="119"/>
      <c r="K889" s="84"/>
    </row>
    <row r="890" spans="1:11" s="16" customFormat="1" ht="10.5" customHeight="1">
      <c r="A890" s="113" t="s">
        <v>1136</v>
      </c>
      <c r="B890" s="103" t="s">
        <v>364</v>
      </c>
      <c r="C890" s="114" t="s">
        <v>1164</v>
      </c>
      <c r="D890" s="115"/>
      <c r="E890" s="116"/>
      <c r="F890" s="115" t="s">
        <v>1165</v>
      </c>
      <c r="G890" s="117">
        <f>14.248-0.208-0.208-0.009</f>
        <v>13.822999999999999</v>
      </c>
      <c r="H890" s="118"/>
      <c r="I890" s="119"/>
      <c r="K890" s="84"/>
    </row>
    <row r="891" spans="1:11" s="16" customFormat="1" ht="10.5" customHeight="1">
      <c r="A891" s="113" t="s">
        <v>1166</v>
      </c>
      <c r="B891" s="103" t="s">
        <v>348</v>
      </c>
      <c r="C891" s="114" t="s">
        <v>1167</v>
      </c>
      <c r="D891" s="115"/>
      <c r="E891" s="116"/>
      <c r="F891" s="115" t="s">
        <v>1168</v>
      </c>
      <c r="G891" s="117">
        <v>0.151</v>
      </c>
      <c r="H891" s="118"/>
      <c r="I891" s="119"/>
      <c r="K891" s="84"/>
    </row>
    <row r="892" spans="1:11" s="16" customFormat="1" ht="10.5" customHeight="1">
      <c r="A892" s="113" t="s">
        <v>1166</v>
      </c>
      <c r="B892" s="103" t="s">
        <v>348</v>
      </c>
      <c r="C892" s="114">
        <v>70</v>
      </c>
      <c r="D892" s="115"/>
      <c r="E892" s="116"/>
      <c r="F892" s="115" t="s">
        <v>1169</v>
      </c>
      <c r="G892" s="117">
        <v>0.588</v>
      </c>
      <c r="H892" s="118"/>
      <c r="I892" s="119"/>
      <c r="K892" s="84"/>
    </row>
    <row r="893" spans="1:11" s="16" customFormat="1" ht="10.5" customHeight="1">
      <c r="A893" s="113" t="s">
        <v>1166</v>
      </c>
      <c r="B893" s="103" t="s">
        <v>348</v>
      </c>
      <c r="C893" s="114">
        <v>80</v>
      </c>
      <c r="D893" s="115"/>
      <c r="E893" s="116"/>
      <c r="F893" s="115" t="s">
        <v>1170</v>
      </c>
      <c r="G893" s="117">
        <v>0.17800000000000005</v>
      </c>
      <c r="H893" s="118"/>
      <c r="I893" s="119"/>
      <c r="K893" s="84"/>
    </row>
    <row r="894" spans="1:11" s="16" customFormat="1" ht="10.5" customHeight="1">
      <c r="A894" s="113" t="s">
        <v>1166</v>
      </c>
      <c r="B894" s="103" t="s">
        <v>348</v>
      </c>
      <c r="C894" s="114">
        <v>100</v>
      </c>
      <c r="D894" s="115"/>
      <c r="E894" s="116"/>
      <c r="F894" s="115"/>
      <c r="G894" s="117">
        <f>2.25-0.1-0.37</f>
        <v>1.7799999999999998</v>
      </c>
      <c r="H894" s="118"/>
      <c r="I894" s="119"/>
      <c r="K894" s="84"/>
    </row>
    <row r="895" spans="1:11" s="16" customFormat="1" ht="10.5" customHeight="1">
      <c r="A895" s="113" t="s">
        <v>1171</v>
      </c>
      <c r="B895" s="103" t="s">
        <v>370</v>
      </c>
      <c r="C895" s="114" t="s">
        <v>439</v>
      </c>
      <c r="D895" s="115"/>
      <c r="E895" s="116"/>
      <c r="F895" s="115" t="s">
        <v>1172</v>
      </c>
      <c r="G895" s="117">
        <v>1.61</v>
      </c>
      <c r="H895" s="118"/>
      <c r="I895" s="119"/>
      <c r="K895" s="84"/>
    </row>
    <row r="896" spans="1:11" s="16" customFormat="1" ht="10.5" customHeight="1">
      <c r="A896" s="113" t="s">
        <v>1173</v>
      </c>
      <c r="B896" s="103" t="s">
        <v>348</v>
      </c>
      <c r="C896" s="114" t="s">
        <v>1174</v>
      </c>
      <c r="D896" s="115"/>
      <c r="E896" s="116"/>
      <c r="F896" s="115" t="s">
        <v>865</v>
      </c>
      <c r="G896" s="117">
        <f>4.873-0.071-0.045-1.004-0.05</f>
        <v>3.7030000000000007</v>
      </c>
      <c r="H896" s="118"/>
      <c r="I896" s="119"/>
      <c r="K896" s="84"/>
    </row>
    <row r="897" spans="1:11" s="16" customFormat="1" ht="10.5" customHeight="1">
      <c r="A897" s="113" t="s">
        <v>1173</v>
      </c>
      <c r="B897" s="103" t="s">
        <v>348</v>
      </c>
      <c r="C897" s="114">
        <v>16</v>
      </c>
      <c r="D897" s="115" t="s">
        <v>1175</v>
      </c>
      <c r="E897" s="116">
        <f>0.24-0.008-0.016-0.1</f>
        <v>0.11599999999999996</v>
      </c>
      <c r="F897" s="115"/>
      <c r="G897" s="117"/>
      <c r="H897" s="118"/>
      <c r="I897" s="119"/>
      <c r="K897" s="84"/>
    </row>
    <row r="898" spans="1:11" s="16" customFormat="1" ht="10.5" customHeight="1">
      <c r="A898" s="113" t="s">
        <v>1173</v>
      </c>
      <c r="B898" s="103" t="s">
        <v>348</v>
      </c>
      <c r="C898" s="114">
        <v>22</v>
      </c>
      <c r="D898" s="115"/>
      <c r="E898" s="116"/>
      <c r="F898" s="115" t="s">
        <v>1176</v>
      </c>
      <c r="G898" s="117">
        <f>5.64-0.015-0.015-0.03</f>
        <v>5.58</v>
      </c>
      <c r="H898" s="118"/>
      <c r="I898" s="119"/>
      <c r="K898" s="84"/>
    </row>
    <row r="899" spans="1:11" s="16" customFormat="1" ht="10.5" customHeight="1">
      <c r="A899" s="113" t="s">
        <v>1173</v>
      </c>
      <c r="B899" s="103" t="s">
        <v>348</v>
      </c>
      <c r="C899" s="114" t="s">
        <v>1177</v>
      </c>
      <c r="D899" s="115"/>
      <c r="E899" s="116"/>
      <c r="F899" s="115" t="s">
        <v>1178</v>
      </c>
      <c r="G899" s="117">
        <v>0.521</v>
      </c>
      <c r="H899" s="118"/>
      <c r="I899" s="119"/>
      <c r="K899" s="84"/>
    </row>
    <row r="900" spans="1:11" s="16" customFormat="1" ht="10.5" customHeight="1">
      <c r="A900" s="113" t="s">
        <v>1173</v>
      </c>
      <c r="B900" s="103" t="s">
        <v>348</v>
      </c>
      <c r="C900" s="114">
        <v>25</v>
      </c>
      <c r="D900" s="115"/>
      <c r="E900" s="116">
        <f>1.434-0.024-0.044-0.046-0.1</f>
        <v>1.2199999999999998</v>
      </c>
      <c r="F900" s="115"/>
      <c r="G900" s="117"/>
      <c r="H900" s="118"/>
      <c r="I900" s="119"/>
      <c r="K900" s="84"/>
    </row>
    <row r="901" spans="1:11" s="16" customFormat="1" ht="10.5" customHeight="1">
      <c r="A901" s="113" t="s">
        <v>1173</v>
      </c>
      <c r="B901" s="103" t="s">
        <v>348</v>
      </c>
      <c r="C901" s="114">
        <v>26.5</v>
      </c>
      <c r="D901" s="115"/>
      <c r="E901" s="116"/>
      <c r="F901" s="115" t="s">
        <v>1179</v>
      </c>
      <c r="G901" s="117">
        <f>4.635-0.4</f>
        <v>4.234999999999999</v>
      </c>
      <c r="H901" s="118"/>
      <c r="I901" s="119"/>
      <c r="K901" s="84"/>
    </row>
    <row r="902" spans="1:11" s="16" customFormat="1" ht="10.5" customHeight="1">
      <c r="A902" s="113" t="s">
        <v>1173</v>
      </c>
      <c r="B902" s="103" t="s">
        <v>348</v>
      </c>
      <c r="C902" s="114">
        <v>28</v>
      </c>
      <c r="D902" s="115"/>
      <c r="E902" s="116">
        <f>4.06-0.306</f>
        <v>3.7539999999999996</v>
      </c>
      <c r="F902" s="115"/>
      <c r="G902" s="117"/>
      <c r="H902" s="118"/>
      <c r="I902" s="119"/>
      <c r="K902" s="84"/>
    </row>
    <row r="903" spans="1:11" s="16" customFormat="1" ht="10.5" customHeight="1">
      <c r="A903" s="113" t="s">
        <v>1173</v>
      </c>
      <c r="B903" s="103" t="s">
        <v>348</v>
      </c>
      <c r="C903" s="114">
        <v>30</v>
      </c>
      <c r="D903" s="115"/>
      <c r="E903" s="116">
        <v>3.03</v>
      </c>
      <c r="F903" s="115"/>
      <c r="G903" s="117"/>
      <c r="H903" s="118"/>
      <c r="I903" s="119"/>
      <c r="K903" s="84"/>
    </row>
    <row r="904" spans="1:11" s="16" customFormat="1" ht="10.5" customHeight="1">
      <c r="A904" s="113" t="s">
        <v>1173</v>
      </c>
      <c r="B904" s="103" t="s">
        <v>348</v>
      </c>
      <c r="C904" s="114">
        <v>32</v>
      </c>
      <c r="D904" s="115" t="s">
        <v>467</v>
      </c>
      <c r="E904" s="116">
        <v>0.124</v>
      </c>
      <c r="F904" s="115"/>
      <c r="G904" s="117"/>
      <c r="H904" s="118"/>
      <c r="I904" s="119"/>
      <c r="K904" s="84"/>
    </row>
    <row r="905" spans="1:11" s="16" customFormat="1" ht="10.5" customHeight="1">
      <c r="A905" s="113" t="s">
        <v>1173</v>
      </c>
      <c r="B905" s="103" t="s">
        <v>348</v>
      </c>
      <c r="C905" s="114">
        <v>38</v>
      </c>
      <c r="D905" s="115"/>
      <c r="E905" s="116"/>
      <c r="F905" s="115"/>
      <c r="G905" s="117">
        <f>1.774-0.045-0.03</f>
        <v>1.699</v>
      </c>
      <c r="H905" s="118"/>
      <c r="I905" s="119">
        <v>0.03</v>
      </c>
      <c r="K905" s="84"/>
    </row>
    <row r="906" spans="1:11" s="16" customFormat="1" ht="10.5" customHeight="1">
      <c r="A906" s="113" t="s">
        <v>1173</v>
      </c>
      <c r="B906" s="103" t="s">
        <v>348</v>
      </c>
      <c r="C906" s="114">
        <v>42</v>
      </c>
      <c r="D906" s="115"/>
      <c r="E906" s="116"/>
      <c r="F906" s="115"/>
      <c r="G906" s="117">
        <f>1.6-0.055-0.155-0.022-0.048-0.41-0.145-0.011</f>
        <v>0.7540000000000001</v>
      </c>
      <c r="H906" s="118"/>
      <c r="I906" s="119"/>
      <c r="K906" s="84"/>
    </row>
    <row r="907" spans="1:11" s="16" customFormat="1" ht="10.5" customHeight="1">
      <c r="A907" s="113" t="s">
        <v>1173</v>
      </c>
      <c r="B907" s="103" t="s">
        <v>348</v>
      </c>
      <c r="C907" s="114">
        <v>65</v>
      </c>
      <c r="D907" s="115"/>
      <c r="E907" s="116"/>
      <c r="F907" s="115" t="s">
        <v>765</v>
      </c>
      <c r="G907" s="117">
        <f>9.29-0.026-0.084-0.11</f>
        <v>9.07</v>
      </c>
      <c r="H907" s="118"/>
      <c r="I907" s="119"/>
      <c r="K907" s="84"/>
    </row>
    <row r="908" spans="1:11" s="16" customFormat="1" ht="10.5" customHeight="1">
      <c r="A908" s="113" t="s">
        <v>1173</v>
      </c>
      <c r="B908" s="103" t="s">
        <v>348</v>
      </c>
      <c r="C908" s="114">
        <v>70</v>
      </c>
      <c r="D908" s="115" t="s">
        <v>405</v>
      </c>
      <c r="E908" s="116">
        <f>3.986-0.158-0.046-0.296</f>
        <v>3.4860000000000007</v>
      </c>
      <c r="F908" s="115" t="s">
        <v>1180</v>
      </c>
      <c r="G908" s="117">
        <f>0.58-0.14-0.03</f>
        <v>0.4099999999999999</v>
      </c>
      <c r="H908" s="118"/>
      <c r="I908" s="119"/>
      <c r="K908" s="84"/>
    </row>
    <row r="909" spans="1:11" s="16" customFormat="1" ht="10.5" customHeight="1">
      <c r="A909" s="113" t="s">
        <v>1173</v>
      </c>
      <c r="B909" s="103" t="s">
        <v>348</v>
      </c>
      <c r="C909" s="114">
        <v>80</v>
      </c>
      <c r="D909" s="115" t="s">
        <v>1181</v>
      </c>
      <c r="E909" s="116">
        <f>0.612-0.044-0.044-0.32</f>
        <v>0.2039999999999999</v>
      </c>
      <c r="F909" s="115"/>
      <c r="G909" s="117">
        <f>1.25-0.079-0.12</f>
        <v>1.0510000000000002</v>
      </c>
      <c r="H909" s="118"/>
      <c r="I909" s="119"/>
      <c r="K909" s="84"/>
    </row>
    <row r="910" spans="1:11" s="16" customFormat="1" ht="10.5" customHeight="1">
      <c r="A910" s="113" t="s">
        <v>1173</v>
      </c>
      <c r="B910" s="103" t="s">
        <v>348</v>
      </c>
      <c r="C910" s="114">
        <v>115</v>
      </c>
      <c r="D910" s="115"/>
      <c r="E910" s="116"/>
      <c r="F910" s="115"/>
      <c r="G910" s="117">
        <f>1.258-0.23-0.42-0.4</f>
        <v>0.20800000000000007</v>
      </c>
      <c r="H910" s="118"/>
      <c r="I910" s="119"/>
      <c r="K910" s="84"/>
    </row>
    <row r="911" spans="1:11" s="16" customFormat="1" ht="10.5" customHeight="1">
      <c r="A911" s="113" t="s">
        <v>1173</v>
      </c>
      <c r="B911" s="103" t="s">
        <v>348</v>
      </c>
      <c r="C911" s="114">
        <v>120</v>
      </c>
      <c r="D911" s="115"/>
      <c r="E911" s="116"/>
      <c r="F911" s="115" t="s">
        <v>1182</v>
      </c>
      <c r="G911" s="117">
        <v>1.245</v>
      </c>
      <c r="H911" s="118"/>
      <c r="I911" s="119"/>
      <c r="K911" s="84"/>
    </row>
    <row r="912" spans="1:11" s="16" customFormat="1" ht="10.5" customHeight="1">
      <c r="A912" s="113" t="s">
        <v>1173</v>
      </c>
      <c r="B912" s="103" t="s">
        <v>348</v>
      </c>
      <c r="C912" s="114">
        <v>130</v>
      </c>
      <c r="D912" s="115"/>
      <c r="E912" s="116"/>
      <c r="F912" s="115" t="s">
        <v>1183</v>
      </c>
      <c r="G912" s="117">
        <f>1.74-0.05-0.105-0.27</f>
        <v>1.315</v>
      </c>
      <c r="H912" s="118"/>
      <c r="I912" s="119"/>
      <c r="K912" s="84"/>
    </row>
    <row r="913" spans="1:11" s="16" customFormat="1" ht="10.5" customHeight="1">
      <c r="A913" s="113" t="s">
        <v>1173</v>
      </c>
      <c r="B913" s="103" t="s">
        <v>348</v>
      </c>
      <c r="C913" s="114">
        <v>160</v>
      </c>
      <c r="D913" s="115"/>
      <c r="E913" s="116"/>
      <c r="F913" s="115"/>
      <c r="G913" s="117">
        <f>0.65-0.11-0.064</f>
        <v>0.47600000000000003</v>
      </c>
      <c r="H913" s="118"/>
      <c r="I913" s="119"/>
      <c r="K913" s="84"/>
    </row>
    <row r="914" spans="1:11" s="16" customFormat="1" ht="10.5" customHeight="1">
      <c r="A914" s="113" t="s">
        <v>1173</v>
      </c>
      <c r="B914" s="103" t="s">
        <v>348</v>
      </c>
      <c r="C914" s="114">
        <v>220</v>
      </c>
      <c r="D914" s="115"/>
      <c r="E914" s="116"/>
      <c r="F914" s="115" t="s">
        <v>445</v>
      </c>
      <c r="G914" s="117">
        <v>0.36</v>
      </c>
      <c r="H914" s="118"/>
      <c r="I914" s="119"/>
      <c r="K914" s="84"/>
    </row>
    <row r="915" spans="1:11" s="16" customFormat="1" ht="10.5" customHeight="1">
      <c r="A915" s="113" t="s">
        <v>1173</v>
      </c>
      <c r="B915" s="103" t="s">
        <v>399</v>
      </c>
      <c r="C915" s="114" t="s">
        <v>1184</v>
      </c>
      <c r="D915" s="115"/>
      <c r="E915" s="116"/>
      <c r="F915" s="115" t="s">
        <v>1185</v>
      </c>
      <c r="G915" s="117">
        <v>1.07</v>
      </c>
      <c r="H915" s="118"/>
      <c r="I915" s="119"/>
      <c r="K915" s="84"/>
    </row>
    <row r="916" spans="1:11" s="16" customFormat="1" ht="10.5" customHeight="1">
      <c r="A916" s="113" t="s">
        <v>1186</v>
      </c>
      <c r="B916" s="103" t="s">
        <v>348</v>
      </c>
      <c r="C916" s="114">
        <v>25</v>
      </c>
      <c r="D916" s="115"/>
      <c r="E916" s="116">
        <f>E900-0.104</f>
        <v>1.1159999999999997</v>
      </c>
      <c r="F916" s="115"/>
      <c r="G916" s="117"/>
      <c r="H916" s="118"/>
      <c r="I916" s="119"/>
      <c r="K916" s="84"/>
    </row>
    <row r="917" spans="1:11" s="16" customFormat="1" ht="10.5" customHeight="1">
      <c r="A917" s="113" t="s">
        <v>1186</v>
      </c>
      <c r="B917" s="103" t="s">
        <v>348</v>
      </c>
      <c r="C917" s="114">
        <v>53</v>
      </c>
      <c r="D917" s="115" t="s">
        <v>442</v>
      </c>
      <c r="E917" s="116">
        <f>0.188-0.018</f>
        <v>0.17</v>
      </c>
      <c r="F917" s="115"/>
      <c r="G917" s="117"/>
      <c r="H917" s="118"/>
      <c r="I917" s="119"/>
      <c r="K917" s="84"/>
    </row>
    <row r="918" spans="1:11" s="16" customFormat="1" ht="10.5" customHeight="1">
      <c r="A918" s="113" t="s">
        <v>1186</v>
      </c>
      <c r="B918" s="103" t="s">
        <v>399</v>
      </c>
      <c r="C918" s="114" t="s">
        <v>1187</v>
      </c>
      <c r="D918" s="115"/>
      <c r="E918" s="116"/>
      <c r="F918" s="115" t="s">
        <v>1188</v>
      </c>
      <c r="G918" s="117">
        <v>0.51</v>
      </c>
      <c r="H918" s="118"/>
      <c r="I918" s="119"/>
      <c r="K918" s="84"/>
    </row>
    <row r="919" spans="1:11" s="16" customFormat="1" ht="10.5" customHeight="1">
      <c r="A919" s="113" t="s">
        <v>1189</v>
      </c>
      <c r="B919" s="103" t="s">
        <v>348</v>
      </c>
      <c r="C919" s="114" t="s">
        <v>1190</v>
      </c>
      <c r="D919" s="115"/>
      <c r="E919" s="116">
        <f>0.048-0.003</f>
        <v>0.045</v>
      </c>
      <c r="F919" s="115"/>
      <c r="G919" s="117"/>
      <c r="H919" s="118"/>
      <c r="I919" s="119"/>
      <c r="K919" s="84"/>
    </row>
    <row r="920" spans="1:11" s="16" customFormat="1" ht="10.5" customHeight="1">
      <c r="A920" s="113" t="s">
        <v>1189</v>
      </c>
      <c r="B920" s="103" t="s">
        <v>348</v>
      </c>
      <c r="C920" s="114" t="s">
        <v>1191</v>
      </c>
      <c r="D920" s="115"/>
      <c r="E920" s="116">
        <v>0.41</v>
      </c>
      <c r="F920" s="115"/>
      <c r="G920" s="117"/>
      <c r="H920" s="118"/>
      <c r="I920" s="119"/>
      <c r="K920" s="84"/>
    </row>
    <row r="921" spans="1:11" s="16" customFormat="1" ht="10.5" customHeight="1">
      <c r="A921" s="113" t="s">
        <v>1189</v>
      </c>
      <c r="B921" s="103" t="s">
        <v>348</v>
      </c>
      <c r="C921" s="114" t="s">
        <v>1192</v>
      </c>
      <c r="D921" s="115"/>
      <c r="E921" s="116">
        <f>1.14-0.05-0.066</f>
        <v>1.0239999999999998</v>
      </c>
      <c r="F921" s="115"/>
      <c r="G921" s="117"/>
      <c r="H921" s="118"/>
      <c r="I921" s="119"/>
      <c r="K921" s="84"/>
    </row>
    <row r="922" spans="1:11" s="16" customFormat="1" ht="10.5" customHeight="1">
      <c r="A922" s="113" t="s">
        <v>1189</v>
      </c>
      <c r="B922" s="103" t="s">
        <v>348</v>
      </c>
      <c r="C922" s="114" t="s">
        <v>1193</v>
      </c>
      <c r="D922" s="115"/>
      <c r="E922" s="116">
        <v>0.066</v>
      </c>
      <c r="F922" s="115"/>
      <c r="G922" s="117"/>
      <c r="H922" s="118"/>
      <c r="I922" s="119"/>
      <c r="K922" s="84"/>
    </row>
    <row r="923" spans="1:11" s="16" customFormat="1" ht="10.5" customHeight="1">
      <c r="A923" s="113" t="s">
        <v>1189</v>
      </c>
      <c r="B923" s="103" t="s">
        <v>348</v>
      </c>
      <c r="C923" s="114">
        <v>22</v>
      </c>
      <c r="D923" s="115"/>
      <c r="E923" s="116"/>
      <c r="F923" s="115"/>
      <c r="G923" s="117">
        <f>9.27-0.075-0.03-0.07-0.031-0.03</f>
        <v>9.034</v>
      </c>
      <c r="H923" s="118"/>
      <c r="I923" s="119"/>
      <c r="K923" s="84"/>
    </row>
    <row r="924" spans="1:11" s="16" customFormat="1" ht="10.5" customHeight="1">
      <c r="A924" s="113" t="s">
        <v>1189</v>
      </c>
      <c r="B924" s="103" t="s">
        <v>348</v>
      </c>
      <c r="C924" s="114" t="s">
        <v>1177</v>
      </c>
      <c r="D924" s="115"/>
      <c r="E924" s="116"/>
      <c r="F924" s="115" t="s">
        <v>1194</v>
      </c>
      <c r="G924" s="117">
        <f>0.601-0.2-0.114</f>
        <v>0.287</v>
      </c>
      <c r="H924" s="118"/>
      <c r="I924" s="119"/>
      <c r="K924" s="84"/>
    </row>
    <row r="925" spans="1:11" s="16" customFormat="1" ht="10.5" customHeight="1">
      <c r="A925" s="113" t="s">
        <v>1189</v>
      </c>
      <c r="B925" s="103" t="s">
        <v>348</v>
      </c>
      <c r="C925" s="114" t="s">
        <v>1195</v>
      </c>
      <c r="D925" s="115"/>
      <c r="E925" s="116">
        <f>0.156-0.046</f>
        <v>0.11</v>
      </c>
      <c r="F925" s="115"/>
      <c r="G925" s="117"/>
      <c r="H925" s="118"/>
      <c r="I925" s="119"/>
      <c r="K925" s="84"/>
    </row>
    <row r="926" spans="1:11" s="16" customFormat="1" ht="10.5" customHeight="1">
      <c r="A926" s="113" t="s">
        <v>1189</v>
      </c>
      <c r="B926" s="103" t="s">
        <v>348</v>
      </c>
      <c r="C926" s="114">
        <v>26</v>
      </c>
      <c r="D926" s="115" t="s">
        <v>442</v>
      </c>
      <c r="E926" s="116">
        <f>1.62-0.016-0.018-0.006-0.016-0.664-0.016-0.12-0.028</f>
        <v>0.736</v>
      </c>
      <c r="F926" s="115"/>
      <c r="G926" s="117"/>
      <c r="H926" s="118"/>
      <c r="I926" s="119"/>
      <c r="K926" s="84"/>
    </row>
    <row r="927" spans="1:11" s="16" customFormat="1" ht="10.5" customHeight="1">
      <c r="A927" s="113" t="s">
        <v>1189</v>
      </c>
      <c r="B927" s="103" t="s">
        <v>348</v>
      </c>
      <c r="C927" s="114">
        <v>30</v>
      </c>
      <c r="D927" s="115"/>
      <c r="E927" s="116"/>
      <c r="F927" s="115" t="s">
        <v>459</v>
      </c>
      <c r="G927" s="117">
        <f>5.087-0.028-0.13-0.028-0.026-0.1-0.1-0.03-0.1-0.116-0.028-0.084-0.025-0.71-0.009</f>
        <v>3.5730000000000026</v>
      </c>
      <c r="H927" s="118"/>
      <c r="I927" s="119"/>
      <c r="K927" s="84"/>
    </row>
    <row r="928" spans="1:11" s="16" customFormat="1" ht="10.5" customHeight="1">
      <c r="A928" s="113" t="s">
        <v>1189</v>
      </c>
      <c r="B928" s="103" t="s">
        <v>348</v>
      </c>
      <c r="C928" s="114">
        <v>34</v>
      </c>
      <c r="D928" s="115" t="s">
        <v>731</v>
      </c>
      <c r="E928" s="116">
        <f>0.196-0.006-0.01-0.036-0.064</f>
        <v>0.07999999999999999</v>
      </c>
      <c r="F928" s="115"/>
      <c r="G928" s="117"/>
      <c r="H928" s="118"/>
      <c r="I928" s="119"/>
      <c r="K928" s="84"/>
    </row>
    <row r="929" spans="1:11" s="16" customFormat="1" ht="10.5" customHeight="1">
      <c r="A929" s="113" t="s">
        <v>1189</v>
      </c>
      <c r="B929" s="103" t="s">
        <v>348</v>
      </c>
      <c r="C929" s="114">
        <v>40</v>
      </c>
      <c r="D929" s="115" t="s">
        <v>720</v>
      </c>
      <c r="E929" s="116">
        <f>10.622-0.31-3.76-4.2-2.06-0.034-0.07-0.07</f>
        <v>0.11799999999999933</v>
      </c>
      <c r="F929" s="115"/>
      <c r="G929" s="117"/>
      <c r="H929" s="118"/>
      <c r="I929" s="119"/>
      <c r="K929" s="84"/>
    </row>
    <row r="930" spans="1:11" s="16" customFormat="1" ht="10.5" customHeight="1">
      <c r="A930" s="113" t="s">
        <v>1189</v>
      </c>
      <c r="B930" s="103" t="s">
        <v>348</v>
      </c>
      <c r="C930" s="114">
        <v>42</v>
      </c>
      <c r="D930" s="115"/>
      <c r="E930" s="116"/>
      <c r="F930" s="115" t="s">
        <v>1133</v>
      </c>
      <c r="G930" s="117">
        <f>20.92-0.05-0.22</f>
        <v>20.650000000000002</v>
      </c>
      <c r="H930" s="118"/>
      <c r="I930" s="123"/>
      <c r="K930" s="84"/>
    </row>
    <row r="931" spans="1:11" s="16" customFormat="1" ht="10.5" customHeight="1">
      <c r="A931" s="113" t="s">
        <v>1189</v>
      </c>
      <c r="B931" s="103" t="s">
        <v>348</v>
      </c>
      <c r="C931" s="114">
        <v>45</v>
      </c>
      <c r="D931" s="115"/>
      <c r="E931" s="116"/>
      <c r="F931" s="115" t="s">
        <v>613</v>
      </c>
      <c r="G931" s="117">
        <f>1.45-0.05-0.055-0.31-0.117-0.056</f>
        <v>0.8619999999999999</v>
      </c>
      <c r="H931" s="118"/>
      <c r="I931" s="119"/>
      <c r="K931" s="84"/>
    </row>
    <row r="932" spans="1:11" s="16" customFormat="1" ht="10.5" customHeight="1">
      <c r="A932" s="113" t="s">
        <v>1189</v>
      </c>
      <c r="B932" s="103" t="s">
        <v>348</v>
      </c>
      <c r="C932" s="114">
        <v>46</v>
      </c>
      <c r="D932" s="115"/>
      <c r="E932" s="116"/>
      <c r="F932" s="115"/>
      <c r="G932" s="117">
        <f>0.72-0.32</f>
        <v>0.39999999999999997</v>
      </c>
      <c r="H932" s="118"/>
      <c r="I932" s="119"/>
      <c r="K932" s="84"/>
    </row>
    <row r="933" spans="1:11" s="16" customFormat="1" ht="10.5" customHeight="1">
      <c r="A933" s="113" t="s">
        <v>1189</v>
      </c>
      <c r="B933" s="103" t="s">
        <v>348</v>
      </c>
      <c r="C933" s="114">
        <v>55</v>
      </c>
      <c r="D933" s="115"/>
      <c r="E933" s="116"/>
      <c r="F933" s="115" t="s">
        <v>1196</v>
      </c>
      <c r="G933" s="117">
        <f>0.755-0.275-0.375</f>
        <v>0.10499999999999998</v>
      </c>
      <c r="H933" s="118"/>
      <c r="I933" s="119"/>
      <c r="K933" s="84"/>
    </row>
    <row r="934" spans="1:11" s="16" customFormat="1" ht="10.5" customHeight="1">
      <c r="A934" s="113" t="s">
        <v>1189</v>
      </c>
      <c r="B934" s="103" t="s">
        <v>348</v>
      </c>
      <c r="C934" s="114">
        <v>56</v>
      </c>
      <c r="D934" s="115" t="s">
        <v>641</v>
      </c>
      <c r="E934" s="116">
        <f>1.534-0.039-0.326-0.456-0.344</f>
        <v>0.3690000000000001</v>
      </c>
      <c r="F934" s="115" t="s">
        <v>1197</v>
      </c>
      <c r="G934" s="117">
        <f>0.2-0.054-0.017-0.036</f>
        <v>0.093</v>
      </c>
      <c r="H934" s="118"/>
      <c r="I934" s="119">
        <v>0.174</v>
      </c>
      <c r="K934" s="84"/>
    </row>
    <row r="935" spans="1:11" s="16" customFormat="1" ht="10.5" customHeight="1">
      <c r="A935" s="113" t="s">
        <v>1189</v>
      </c>
      <c r="B935" s="103" t="s">
        <v>348</v>
      </c>
      <c r="C935" s="114">
        <v>60</v>
      </c>
      <c r="D935" s="115" t="s">
        <v>1198</v>
      </c>
      <c r="E935" s="124">
        <f>3.2+0.531-0.531-0.055-0.548</f>
        <v>2.597</v>
      </c>
      <c r="F935" s="115"/>
      <c r="G935" s="117"/>
      <c r="H935" s="125"/>
      <c r="I935" s="123"/>
      <c r="K935" s="88"/>
    </row>
    <row r="936" spans="1:11" s="16" customFormat="1" ht="10.5" customHeight="1">
      <c r="A936" s="113" t="s">
        <v>1189</v>
      </c>
      <c r="B936" s="103" t="s">
        <v>348</v>
      </c>
      <c r="C936" s="114">
        <v>64</v>
      </c>
      <c r="D936" s="115"/>
      <c r="E936" s="116"/>
      <c r="F936" s="115"/>
      <c r="G936" s="117">
        <f>1.115-0.064-0.14-0.15</f>
        <v>0.7609999999999999</v>
      </c>
      <c r="H936" s="118"/>
      <c r="I936" s="119"/>
      <c r="K936" s="84"/>
    </row>
    <row r="937" spans="1:11" s="16" customFormat="1" ht="10.5" customHeight="1">
      <c r="A937" s="113" t="s">
        <v>1189</v>
      </c>
      <c r="B937" s="103" t="s">
        <v>348</v>
      </c>
      <c r="C937" s="114">
        <v>65</v>
      </c>
      <c r="D937" s="115" t="s">
        <v>1199</v>
      </c>
      <c r="E937" s="116">
        <f>3.292-0.003-0.12</f>
        <v>3.1689999999999996</v>
      </c>
      <c r="F937" s="115"/>
      <c r="G937" s="117"/>
      <c r="H937" s="118"/>
      <c r="I937" s="119"/>
      <c r="K937" s="84"/>
    </row>
    <row r="938" spans="1:11" s="16" customFormat="1" ht="10.5" customHeight="1">
      <c r="A938" s="113" t="s">
        <v>1189</v>
      </c>
      <c r="B938" s="103" t="s">
        <v>348</v>
      </c>
      <c r="C938" s="114">
        <v>70</v>
      </c>
      <c r="D938" s="115"/>
      <c r="E938" s="116">
        <f>2.97-0.126-0.308-0.144-0.03-0.29-0.312-0.172-0.15-0.92-0.31-0.132</f>
        <v>0.07600000000000057</v>
      </c>
      <c r="F938" s="115" t="s">
        <v>1200</v>
      </c>
      <c r="G938" s="117">
        <f>1.45-0.15-0.043-0.235-0.24-0.14-0.33</f>
        <v>0.3120000000000002</v>
      </c>
      <c r="H938" s="118"/>
      <c r="I938" s="119"/>
      <c r="K938" s="84"/>
    </row>
    <row r="939" spans="1:11" s="16" customFormat="1" ht="10.5" customHeight="1">
      <c r="A939" s="113" t="s">
        <v>1189</v>
      </c>
      <c r="B939" s="103" t="s">
        <v>348</v>
      </c>
      <c r="C939" s="114">
        <v>80</v>
      </c>
      <c r="D939" s="115"/>
      <c r="E939" s="116">
        <f>2.96-0.12-0.01-0.024-0.008-0.08-0.142-0.342-0.186-0.248-0.522-0.08-0.082-0.17</f>
        <v>0.9459999999999998</v>
      </c>
      <c r="F939" s="115" t="s">
        <v>1201</v>
      </c>
      <c r="G939" s="117">
        <f>1.229-0.14-0.19</f>
        <v>0.899</v>
      </c>
      <c r="H939" s="118"/>
      <c r="I939" s="123">
        <v>0.284</v>
      </c>
      <c r="J939" s="16" t="s">
        <v>609</v>
      </c>
      <c r="K939" s="84"/>
    </row>
    <row r="940" spans="1:11" s="16" customFormat="1" ht="10.5" customHeight="1">
      <c r="A940" s="113" t="s">
        <v>1189</v>
      </c>
      <c r="B940" s="103" t="s">
        <v>348</v>
      </c>
      <c r="C940" s="114" t="s">
        <v>682</v>
      </c>
      <c r="D940" s="115"/>
      <c r="E940" s="116">
        <f>3.25-0.142-0.2-0.658-0.662-0.664-0.622</f>
        <v>0.30200000000000005</v>
      </c>
      <c r="F940" s="115"/>
      <c r="G940" s="117"/>
      <c r="H940" s="118"/>
      <c r="I940" s="119"/>
      <c r="K940" s="84"/>
    </row>
    <row r="941" spans="1:11" s="16" customFormat="1" ht="10.5" customHeight="1">
      <c r="A941" s="113" t="s">
        <v>1189</v>
      </c>
      <c r="B941" s="103" t="s">
        <v>348</v>
      </c>
      <c r="C941" s="114" t="s">
        <v>1153</v>
      </c>
      <c r="D941" s="115" t="s">
        <v>1202</v>
      </c>
      <c r="E941" s="116">
        <v>1</v>
      </c>
      <c r="F941" s="115"/>
      <c r="G941" s="117"/>
      <c r="H941" s="118"/>
      <c r="I941" s="119"/>
      <c r="K941" s="84"/>
    </row>
    <row r="942" spans="1:11" s="16" customFormat="1" ht="10.5" customHeight="1">
      <c r="A942" s="113" t="s">
        <v>1189</v>
      </c>
      <c r="B942" s="103" t="s">
        <v>348</v>
      </c>
      <c r="C942" s="114">
        <v>240</v>
      </c>
      <c r="D942" s="115" t="s">
        <v>1203</v>
      </c>
      <c r="E942" s="116">
        <f>2.62-0.368</f>
        <v>2.2520000000000002</v>
      </c>
      <c r="F942" s="115"/>
      <c r="G942" s="117"/>
      <c r="H942" s="118"/>
      <c r="I942" s="123">
        <v>1.35</v>
      </c>
      <c r="J942" s="16" t="s">
        <v>609</v>
      </c>
      <c r="K942" s="84"/>
    </row>
    <row r="943" spans="1:11" s="16" customFormat="1" ht="10.5" customHeight="1">
      <c r="A943" s="113" t="s">
        <v>1189</v>
      </c>
      <c r="B943" s="103" t="s">
        <v>348</v>
      </c>
      <c r="C943" s="114">
        <v>270</v>
      </c>
      <c r="D943" s="115"/>
      <c r="E943" s="116">
        <f>0.756-0.078-0.542</f>
        <v>0.136</v>
      </c>
      <c r="F943" s="115"/>
      <c r="G943" s="117"/>
      <c r="H943" s="118"/>
      <c r="I943" s="119"/>
      <c r="K943" s="84"/>
    </row>
    <row r="944" spans="1:11" s="16" customFormat="1" ht="10.5" customHeight="1">
      <c r="A944" s="113" t="s">
        <v>1189</v>
      </c>
      <c r="B944" s="103" t="s">
        <v>348</v>
      </c>
      <c r="C944" s="114" t="s">
        <v>799</v>
      </c>
      <c r="D944" s="115" t="s">
        <v>970</v>
      </c>
      <c r="E944" s="116">
        <v>10</v>
      </c>
      <c r="F944" s="115"/>
      <c r="G944" s="117"/>
      <c r="H944" s="118"/>
      <c r="I944" s="119"/>
      <c r="K944" s="84"/>
    </row>
    <row r="945" spans="1:11" s="16" customFormat="1" ht="10.5" customHeight="1">
      <c r="A945" s="113" t="s">
        <v>1189</v>
      </c>
      <c r="B945" s="103" t="s">
        <v>348</v>
      </c>
      <c r="C945" s="114" t="s">
        <v>980</v>
      </c>
      <c r="D945" s="115" t="s">
        <v>636</v>
      </c>
      <c r="E945" s="116">
        <v>10</v>
      </c>
      <c r="F945" s="115"/>
      <c r="G945" s="117"/>
      <c r="H945" s="118"/>
      <c r="I945" s="119"/>
      <c r="K945" s="84"/>
    </row>
    <row r="946" spans="1:11" s="16" customFormat="1" ht="10.5" customHeight="1">
      <c r="A946" s="113" t="s">
        <v>1189</v>
      </c>
      <c r="B946" s="103" t="s">
        <v>348</v>
      </c>
      <c r="C946" s="114" t="s">
        <v>982</v>
      </c>
      <c r="D946" s="115" t="s">
        <v>636</v>
      </c>
      <c r="E946" s="116">
        <v>5.35</v>
      </c>
      <c r="F946" s="115"/>
      <c r="G946" s="117"/>
      <c r="H946" s="118"/>
      <c r="I946" s="119"/>
      <c r="K946" s="84"/>
    </row>
    <row r="947" spans="1:11" s="16" customFormat="1" ht="10.5" customHeight="1">
      <c r="A947" s="113" t="s">
        <v>1189</v>
      </c>
      <c r="B947" s="103" t="s">
        <v>348</v>
      </c>
      <c r="C947" s="114" t="s">
        <v>1015</v>
      </c>
      <c r="D947" s="115" t="s">
        <v>636</v>
      </c>
      <c r="E947" s="116">
        <v>5.49</v>
      </c>
      <c r="F947" s="115"/>
      <c r="G947" s="117"/>
      <c r="H947" s="118"/>
      <c r="I947" s="119"/>
      <c r="K947" s="84"/>
    </row>
    <row r="948" spans="1:11" s="16" customFormat="1" ht="10.5" customHeight="1">
      <c r="A948" s="113" t="s">
        <v>1189</v>
      </c>
      <c r="B948" s="103" t="s">
        <v>348</v>
      </c>
      <c r="C948" s="114" t="s">
        <v>1204</v>
      </c>
      <c r="D948" s="115" t="s">
        <v>636</v>
      </c>
      <c r="E948" s="116">
        <v>10.64</v>
      </c>
      <c r="F948" s="115"/>
      <c r="G948" s="117"/>
      <c r="H948" s="118"/>
      <c r="I948" s="119"/>
      <c r="K948" s="84"/>
    </row>
    <row r="949" spans="1:11" s="16" customFormat="1" ht="10.5" customHeight="1">
      <c r="A949" s="113" t="s">
        <v>1189</v>
      </c>
      <c r="B949" s="103" t="s">
        <v>348</v>
      </c>
      <c r="C949" s="114" t="s">
        <v>1205</v>
      </c>
      <c r="D949" s="115" t="s">
        <v>1206</v>
      </c>
      <c r="E949" s="116">
        <v>10.76</v>
      </c>
      <c r="F949" s="115"/>
      <c r="G949" s="117"/>
      <c r="H949" s="118"/>
      <c r="I949" s="119"/>
      <c r="K949" s="84"/>
    </row>
    <row r="950" spans="1:11" s="16" customFormat="1" ht="10.5" customHeight="1">
      <c r="A950" s="113" t="s">
        <v>1189</v>
      </c>
      <c r="B950" s="103" t="s">
        <v>348</v>
      </c>
      <c r="C950" s="114" t="s">
        <v>1207</v>
      </c>
      <c r="D950" s="115" t="s">
        <v>1208</v>
      </c>
      <c r="E950" s="116">
        <v>0.59</v>
      </c>
      <c r="F950" s="115"/>
      <c r="G950" s="117"/>
      <c r="H950" s="118"/>
      <c r="I950" s="119"/>
      <c r="K950" s="84"/>
    </row>
    <row r="951" spans="1:11" s="16" customFormat="1" ht="10.5" customHeight="1">
      <c r="A951" s="113" t="s">
        <v>1189</v>
      </c>
      <c r="B951" s="103" t="s">
        <v>348</v>
      </c>
      <c r="C951" s="114" t="s">
        <v>1209</v>
      </c>
      <c r="D951" s="115" t="s">
        <v>1210</v>
      </c>
      <c r="E951" s="116">
        <v>1.59</v>
      </c>
      <c r="F951" s="115"/>
      <c r="G951" s="117"/>
      <c r="H951" s="118"/>
      <c r="I951" s="119"/>
      <c r="K951" s="84"/>
    </row>
    <row r="952" spans="1:11" s="16" customFormat="1" ht="10.5" customHeight="1">
      <c r="A952" s="113" t="s">
        <v>1189</v>
      </c>
      <c r="B952" s="103" t="s">
        <v>348</v>
      </c>
      <c r="C952" s="114" t="s">
        <v>1211</v>
      </c>
      <c r="D952" s="115" t="s">
        <v>830</v>
      </c>
      <c r="E952" s="116">
        <v>3.37</v>
      </c>
      <c r="F952" s="115"/>
      <c r="G952" s="117"/>
      <c r="H952" s="118"/>
      <c r="I952" s="119"/>
      <c r="K952" s="84"/>
    </row>
    <row r="953" spans="1:11" s="16" customFormat="1" ht="10.5" customHeight="1">
      <c r="A953" s="113" t="s">
        <v>1189</v>
      </c>
      <c r="B953" s="103" t="s">
        <v>370</v>
      </c>
      <c r="C953" s="114" t="s">
        <v>371</v>
      </c>
      <c r="D953" s="115"/>
      <c r="E953" s="116"/>
      <c r="F953" s="115" t="s">
        <v>1212</v>
      </c>
      <c r="G953" s="117">
        <f>15.841-3.25-0.85</f>
        <v>11.741</v>
      </c>
      <c r="H953" s="118"/>
      <c r="I953" s="119"/>
      <c r="K953" s="84"/>
    </row>
    <row r="954" spans="1:11" s="16" customFormat="1" ht="10.5" customHeight="1">
      <c r="A954" s="113" t="s">
        <v>1189</v>
      </c>
      <c r="B954" s="103" t="s">
        <v>370</v>
      </c>
      <c r="C954" s="114" t="s">
        <v>1213</v>
      </c>
      <c r="D954" s="115"/>
      <c r="E954" s="116"/>
      <c r="F954" s="115" t="s">
        <v>1214</v>
      </c>
      <c r="G954" s="117">
        <v>0.455</v>
      </c>
      <c r="H954" s="118"/>
      <c r="I954" s="119"/>
      <c r="K954" s="84"/>
    </row>
    <row r="955" spans="1:11" s="16" customFormat="1" ht="10.5" customHeight="1">
      <c r="A955" s="113" t="s">
        <v>1189</v>
      </c>
      <c r="B955" s="103" t="s">
        <v>370</v>
      </c>
      <c r="C955" s="114" t="s">
        <v>1215</v>
      </c>
      <c r="D955" s="115"/>
      <c r="E955" s="116"/>
      <c r="F955" s="115" t="s">
        <v>1214</v>
      </c>
      <c r="G955" s="117">
        <v>0.453</v>
      </c>
      <c r="H955" s="118"/>
      <c r="I955" s="119"/>
      <c r="K955" s="84"/>
    </row>
    <row r="956" spans="1:11" s="16" customFormat="1" ht="10.5" customHeight="1">
      <c r="A956" s="113" t="s">
        <v>1189</v>
      </c>
      <c r="B956" s="103" t="s">
        <v>370</v>
      </c>
      <c r="C956" s="114" t="s">
        <v>1216</v>
      </c>
      <c r="D956" s="115"/>
      <c r="E956" s="116"/>
      <c r="F956" s="115" t="s">
        <v>1217</v>
      </c>
      <c r="G956" s="117">
        <v>0.938</v>
      </c>
      <c r="H956" s="118"/>
      <c r="I956" s="119"/>
      <c r="K956" s="84"/>
    </row>
    <row r="957" spans="1:11" s="16" customFormat="1" ht="10.5" customHeight="1">
      <c r="A957" s="113" t="s">
        <v>1189</v>
      </c>
      <c r="B957" s="103" t="s">
        <v>399</v>
      </c>
      <c r="C957" s="114" t="s">
        <v>1218</v>
      </c>
      <c r="D957" s="115"/>
      <c r="E957" s="116"/>
      <c r="F957" s="115" t="s">
        <v>1219</v>
      </c>
      <c r="G957" s="117">
        <v>0.802</v>
      </c>
      <c r="H957" s="118"/>
      <c r="I957" s="119"/>
      <c r="K957" s="84"/>
    </row>
    <row r="958" spans="1:11" s="16" customFormat="1" ht="10.5" customHeight="1">
      <c r="A958" s="113" t="s">
        <v>1189</v>
      </c>
      <c r="B958" s="103" t="s">
        <v>399</v>
      </c>
      <c r="C958" s="114" t="s">
        <v>1220</v>
      </c>
      <c r="D958" s="115"/>
      <c r="E958" s="116"/>
      <c r="F958" s="115" t="s">
        <v>1221</v>
      </c>
      <c r="G958" s="117">
        <v>0.398</v>
      </c>
      <c r="H958" s="118"/>
      <c r="I958" s="119"/>
      <c r="K958" s="84"/>
    </row>
    <row r="959" spans="1:11" s="16" customFormat="1" ht="10.5" customHeight="1">
      <c r="A959" s="113" t="s">
        <v>1189</v>
      </c>
      <c r="B959" s="103" t="s">
        <v>399</v>
      </c>
      <c r="C959" s="114" t="s">
        <v>1222</v>
      </c>
      <c r="D959" s="115"/>
      <c r="E959" s="116"/>
      <c r="F959" s="115" t="s">
        <v>1223</v>
      </c>
      <c r="G959" s="117">
        <v>0.867</v>
      </c>
      <c r="H959" s="118"/>
      <c r="I959" s="119"/>
      <c r="K959" s="84"/>
    </row>
    <row r="960" spans="1:11" s="16" customFormat="1" ht="10.5" customHeight="1">
      <c r="A960" s="113" t="s">
        <v>1189</v>
      </c>
      <c r="B960" s="103" t="s">
        <v>399</v>
      </c>
      <c r="C960" s="114" t="s">
        <v>1224</v>
      </c>
      <c r="D960" s="115"/>
      <c r="E960" s="116"/>
      <c r="F960" s="115" t="s">
        <v>1225</v>
      </c>
      <c r="G960" s="122">
        <v>1.22</v>
      </c>
      <c r="H960" s="118"/>
      <c r="I960" s="119"/>
      <c r="K960" s="84"/>
    </row>
    <row r="961" spans="1:11" s="16" customFormat="1" ht="10.5" customHeight="1">
      <c r="A961" s="113" t="s">
        <v>1189</v>
      </c>
      <c r="B961" s="103" t="s">
        <v>399</v>
      </c>
      <c r="C961" s="114" t="s">
        <v>1226</v>
      </c>
      <c r="D961" s="115"/>
      <c r="E961" s="116"/>
      <c r="F961" s="115" t="s">
        <v>1227</v>
      </c>
      <c r="G961" s="117">
        <v>0.338</v>
      </c>
      <c r="H961" s="118"/>
      <c r="I961" s="119"/>
      <c r="K961" s="84"/>
    </row>
    <row r="962" spans="1:11" s="16" customFormat="1" ht="10.5" customHeight="1">
      <c r="A962" s="113" t="s">
        <v>1189</v>
      </c>
      <c r="B962" s="103" t="s">
        <v>399</v>
      </c>
      <c r="C962" s="114" t="s">
        <v>1228</v>
      </c>
      <c r="D962" s="115"/>
      <c r="E962" s="116"/>
      <c r="F962" s="115" t="s">
        <v>1227</v>
      </c>
      <c r="G962" s="117">
        <v>0.287</v>
      </c>
      <c r="H962" s="118"/>
      <c r="I962" s="119"/>
      <c r="K962" s="84"/>
    </row>
    <row r="963" spans="1:11" s="16" customFormat="1" ht="10.5" customHeight="1">
      <c r="A963" s="113" t="s">
        <v>1189</v>
      </c>
      <c r="B963" s="103" t="s">
        <v>399</v>
      </c>
      <c r="C963" s="114" t="s">
        <v>1229</v>
      </c>
      <c r="D963" s="115"/>
      <c r="E963" s="116"/>
      <c r="F963" s="115" t="s">
        <v>1230</v>
      </c>
      <c r="G963" s="117">
        <v>1.427</v>
      </c>
      <c r="H963" s="118"/>
      <c r="I963" s="119"/>
      <c r="K963" s="84"/>
    </row>
    <row r="964" spans="1:11" s="16" customFormat="1" ht="10.5" customHeight="1">
      <c r="A964" s="113" t="s">
        <v>1189</v>
      </c>
      <c r="B964" s="103" t="s">
        <v>399</v>
      </c>
      <c r="C964" s="114" t="s">
        <v>1231</v>
      </c>
      <c r="D964" s="115"/>
      <c r="E964" s="116"/>
      <c r="F964" s="115" t="s">
        <v>1227</v>
      </c>
      <c r="G964" s="117">
        <v>0.363</v>
      </c>
      <c r="H964" s="118"/>
      <c r="I964" s="119"/>
      <c r="K964" s="84"/>
    </row>
    <row r="965" spans="1:11" s="16" customFormat="1" ht="10.5" customHeight="1">
      <c r="A965" s="113" t="s">
        <v>1189</v>
      </c>
      <c r="B965" s="103" t="s">
        <v>399</v>
      </c>
      <c r="C965" s="114" t="s">
        <v>1232</v>
      </c>
      <c r="D965" s="115"/>
      <c r="E965" s="116"/>
      <c r="F965" s="115" t="s">
        <v>1233</v>
      </c>
      <c r="G965" s="117">
        <v>0.298</v>
      </c>
      <c r="H965" s="118"/>
      <c r="I965" s="119"/>
      <c r="K965" s="84"/>
    </row>
    <row r="966" spans="1:11" s="16" customFormat="1" ht="10.5" customHeight="1">
      <c r="A966" s="113" t="s">
        <v>1189</v>
      </c>
      <c r="B966" s="103" t="s">
        <v>399</v>
      </c>
      <c r="C966" s="114" t="s">
        <v>1234</v>
      </c>
      <c r="D966" s="115"/>
      <c r="E966" s="116"/>
      <c r="F966" s="115" t="s">
        <v>1235</v>
      </c>
      <c r="G966" s="117">
        <f>1.465-0.355</f>
        <v>1.11</v>
      </c>
      <c r="H966" s="118"/>
      <c r="I966" s="119"/>
      <c r="K966" s="84"/>
    </row>
    <row r="967" spans="1:11" s="16" customFormat="1" ht="10.5" customHeight="1">
      <c r="A967" s="113" t="s">
        <v>1189</v>
      </c>
      <c r="B967" s="103" t="s">
        <v>399</v>
      </c>
      <c r="C967" s="114" t="s">
        <v>1236</v>
      </c>
      <c r="D967" s="115"/>
      <c r="E967" s="116"/>
      <c r="F967" s="115" t="s">
        <v>1227</v>
      </c>
      <c r="G967" s="117">
        <v>0.359</v>
      </c>
      <c r="H967" s="118"/>
      <c r="I967" s="119"/>
      <c r="K967" s="84"/>
    </row>
    <row r="968" spans="1:11" s="16" customFormat="1" ht="10.5" customHeight="1">
      <c r="A968" s="113" t="s">
        <v>1189</v>
      </c>
      <c r="B968" s="103" t="s">
        <v>399</v>
      </c>
      <c r="C968" s="114" t="s">
        <v>1237</v>
      </c>
      <c r="D968" s="115"/>
      <c r="E968" s="116"/>
      <c r="F968" s="115" t="s">
        <v>703</v>
      </c>
      <c r="G968" s="117">
        <v>0.386</v>
      </c>
      <c r="H968" s="118"/>
      <c r="I968" s="119"/>
      <c r="K968" s="84"/>
    </row>
    <row r="969" spans="1:11" s="16" customFormat="1" ht="10.5" customHeight="1">
      <c r="A969" s="113" t="s">
        <v>1189</v>
      </c>
      <c r="B969" s="103" t="s">
        <v>399</v>
      </c>
      <c r="C969" s="114" t="s">
        <v>1238</v>
      </c>
      <c r="D969" s="115"/>
      <c r="E969" s="116"/>
      <c r="F969" s="115" t="s">
        <v>510</v>
      </c>
      <c r="G969" s="117">
        <v>0.382</v>
      </c>
      <c r="H969" s="118"/>
      <c r="I969" s="119"/>
      <c r="K969" s="84"/>
    </row>
    <row r="970" spans="1:11" s="16" customFormat="1" ht="10.5" customHeight="1">
      <c r="A970" s="113" t="s">
        <v>1189</v>
      </c>
      <c r="B970" s="103" t="s">
        <v>399</v>
      </c>
      <c r="C970" s="114" t="s">
        <v>1239</v>
      </c>
      <c r="D970" s="115"/>
      <c r="E970" s="116"/>
      <c r="F970" s="115" t="s">
        <v>1240</v>
      </c>
      <c r="G970" s="117">
        <v>0.602</v>
      </c>
      <c r="H970" s="118"/>
      <c r="I970" s="119"/>
      <c r="K970" s="84"/>
    </row>
    <row r="971" spans="1:11" s="16" customFormat="1" ht="10.5" customHeight="1">
      <c r="A971" s="113" t="s">
        <v>1189</v>
      </c>
      <c r="B971" s="103" t="s">
        <v>399</v>
      </c>
      <c r="C971" s="114" t="s">
        <v>1241</v>
      </c>
      <c r="D971" s="115"/>
      <c r="E971" s="116"/>
      <c r="F971" s="115" t="s">
        <v>1242</v>
      </c>
      <c r="G971" s="117">
        <v>0.6</v>
      </c>
      <c r="H971" s="118"/>
      <c r="I971" s="119"/>
      <c r="K971" s="84"/>
    </row>
    <row r="972" spans="1:11" s="16" customFormat="1" ht="10.5" customHeight="1">
      <c r="A972" s="113" t="s">
        <v>1189</v>
      </c>
      <c r="B972" s="103" t="s">
        <v>399</v>
      </c>
      <c r="C972" s="114" t="s">
        <v>1243</v>
      </c>
      <c r="D972" s="115"/>
      <c r="E972" s="116"/>
      <c r="F972" s="115" t="s">
        <v>1242</v>
      </c>
      <c r="G972" s="117">
        <v>0.603</v>
      </c>
      <c r="H972" s="118"/>
      <c r="I972" s="119"/>
      <c r="K972" s="84"/>
    </row>
    <row r="973" spans="1:11" s="16" customFormat="1" ht="10.5" customHeight="1">
      <c r="A973" s="113" t="s">
        <v>1189</v>
      </c>
      <c r="B973" s="103" t="s">
        <v>399</v>
      </c>
      <c r="C973" s="114" t="s">
        <v>1244</v>
      </c>
      <c r="D973" s="115"/>
      <c r="E973" s="116"/>
      <c r="F973" s="115" t="s">
        <v>1245</v>
      </c>
      <c r="G973" s="117">
        <v>1.222</v>
      </c>
      <c r="H973" s="118"/>
      <c r="I973" s="119"/>
      <c r="K973" s="84"/>
    </row>
    <row r="974" spans="1:11" s="16" customFormat="1" ht="10.5" customHeight="1">
      <c r="A974" s="113" t="s">
        <v>1189</v>
      </c>
      <c r="B974" s="103" t="s">
        <v>399</v>
      </c>
      <c r="C974" s="114" t="s">
        <v>1246</v>
      </c>
      <c r="D974" s="115"/>
      <c r="E974" s="116"/>
      <c r="F974" s="115" t="s">
        <v>1247</v>
      </c>
      <c r="G974" s="117">
        <v>0.619</v>
      </c>
      <c r="H974" s="118"/>
      <c r="I974" s="119"/>
      <c r="K974" s="84"/>
    </row>
    <row r="975" spans="1:11" s="16" customFormat="1" ht="10.5" customHeight="1">
      <c r="A975" s="113" t="s">
        <v>1189</v>
      </c>
      <c r="B975" s="103" t="s">
        <v>399</v>
      </c>
      <c r="C975" s="114" t="s">
        <v>1248</v>
      </c>
      <c r="D975" s="115"/>
      <c r="E975" s="116"/>
      <c r="F975" s="115" t="s">
        <v>1242</v>
      </c>
      <c r="G975" s="117">
        <v>0.604</v>
      </c>
      <c r="H975" s="118"/>
      <c r="I975" s="119"/>
      <c r="K975" s="84"/>
    </row>
    <row r="976" spans="1:11" s="16" customFormat="1" ht="10.5" customHeight="1">
      <c r="A976" s="113" t="s">
        <v>1189</v>
      </c>
      <c r="B976" s="103" t="s">
        <v>399</v>
      </c>
      <c r="C976" s="114" t="s">
        <v>1249</v>
      </c>
      <c r="D976" s="115"/>
      <c r="E976" s="116"/>
      <c r="F976" s="115" t="s">
        <v>1242</v>
      </c>
      <c r="G976" s="117">
        <v>0.6</v>
      </c>
      <c r="H976" s="118"/>
      <c r="I976" s="119"/>
      <c r="K976" s="84"/>
    </row>
    <row r="977" spans="1:11" s="16" customFormat="1" ht="10.5" customHeight="1">
      <c r="A977" s="113" t="s">
        <v>1189</v>
      </c>
      <c r="B977" s="103" t="s">
        <v>399</v>
      </c>
      <c r="C977" s="114" t="s">
        <v>1250</v>
      </c>
      <c r="D977" s="115"/>
      <c r="E977" s="116"/>
      <c r="F977" s="115" t="s">
        <v>1227</v>
      </c>
      <c r="G977" s="117">
        <v>1.96</v>
      </c>
      <c r="H977" s="118"/>
      <c r="I977" s="119"/>
      <c r="K977" s="84"/>
    </row>
    <row r="978" spans="1:11" s="16" customFormat="1" ht="11.25" customHeight="1">
      <c r="A978" s="113" t="s">
        <v>1189</v>
      </c>
      <c r="B978" s="103" t="s">
        <v>399</v>
      </c>
      <c r="C978" s="114" t="s">
        <v>1251</v>
      </c>
      <c r="D978" s="115"/>
      <c r="E978" s="116"/>
      <c r="F978" s="115" t="s">
        <v>1227</v>
      </c>
      <c r="G978" s="117">
        <v>1.75</v>
      </c>
      <c r="H978" s="118"/>
      <c r="I978" s="119"/>
      <c r="K978" s="84"/>
    </row>
    <row r="979" spans="1:11" s="16" customFormat="1" ht="10.5" customHeight="1">
      <c r="A979" s="113" t="s">
        <v>1189</v>
      </c>
      <c r="B979" s="103" t="s">
        <v>399</v>
      </c>
      <c r="C979" s="114" t="s">
        <v>1252</v>
      </c>
      <c r="D979" s="115"/>
      <c r="E979" s="116"/>
      <c r="F979" s="115"/>
      <c r="G979" s="117">
        <v>3.41</v>
      </c>
      <c r="H979" s="118"/>
      <c r="I979" s="119"/>
      <c r="K979" s="84"/>
    </row>
    <row r="980" spans="1:11" s="16" customFormat="1" ht="10.5" customHeight="1">
      <c r="A980" s="113" t="s">
        <v>1189</v>
      </c>
      <c r="B980" s="103" t="s">
        <v>399</v>
      </c>
      <c r="C980" s="114" t="s">
        <v>1253</v>
      </c>
      <c r="D980" s="115"/>
      <c r="E980" s="116"/>
      <c r="F980" s="115"/>
      <c r="G980" s="117">
        <v>3.505</v>
      </c>
      <c r="H980" s="118"/>
      <c r="I980" s="119"/>
      <c r="K980" s="84"/>
    </row>
    <row r="981" spans="1:11" s="16" customFormat="1" ht="10.5" customHeight="1">
      <c r="A981" s="113" t="s">
        <v>1254</v>
      </c>
      <c r="B981" s="103" t="s">
        <v>370</v>
      </c>
      <c r="C981" s="114" t="s">
        <v>396</v>
      </c>
      <c r="D981" s="115"/>
      <c r="E981" s="116"/>
      <c r="F981" s="115" t="s">
        <v>1255</v>
      </c>
      <c r="G981" s="117">
        <v>1.37</v>
      </c>
      <c r="H981" s="118"/>
      <c r="I981" s="119"/>
      <c r="K981" s="84"/>
    </row>
    <row r="982" spans="1:11" s="16" customFormat="1" ht="10.5" customHeight="1">
      <c r="A982" s="113" t="s">
        <v>1256</v>
      </c>
      <c r="B982" s="103" t="s">
        <v>348</v>
      </c>
      <c r="C982" s="114">
        <v>38</v>
      </c>
      <c r="D982" s="115"/>
      <c r="E982" s="116"/>
      <c r="F982" s="115" t="s">
        <v>901</v>
      </c>
      <c r="G982" s="117">
        <f>0.33-0.008-0.045</f>
        <v>0.277</v>
      </c>
      <c r="H982" s="118"/>
      <c r="I982" s="119"/>
      <c r="K982" s="84"/>
    </row>
    <row r="983" spans="1:11" s="16" customFormat="1" ht="10.5" customHeight="1">
      <c r="A983" s="113" t="s">
        <v>1256</v>
      </c>
      <c r="B983" s="103" t="s">
        <v>348</v>
      </c>
      <c r="C983" s="114">
        <v>54</v>
      </c>
      <c r="D983" s="115"/>
      <c r="E983" s="116"/>
      <c r="F983" s="115"/>
      <c r="G983" s="117">
        <v>5.72</v>
      </c>
      <c r="H983" s="118"/>
      <c r="I983" s="119"/>
      <c r="K983" s="84"/>
    </row>
    <row r="984" spans="1:11" s="16" customFormat="1" ht="10.5" customHeight="1">
      <c r="A984" s="113" t="s">
        <v>1256</v>
      </c>
      <c r="B984" s="103" t="s">
        <v>348</v>
      </c>
      <c r="C984" s="114">
        <v>55</v>
      </c>
      <c r="D984" s="115"/>
      <c r="E984" s="116"/>
      <c r="F984" s="115"/>
      <c r="G984" s="117">
        <f>3.425-0.02-0.086</f>
        <v>3.319</v>
      </c>
      <c r="H984" s="118"/>
      <c r="I984" s="119"/>
      <c r="K984" s="84"/>
    </row>
    <row r="985" spans="1:11" s="16" customFormat="1" ht="10.5" customHeight="1">
      <c r="A985" s="113" t="s">
        <v>1256</v>
      </c>
      <c r="B985" s="103" t="s">
        <v>348</v>
      </c>
      <c r="C985" s="114">
        <v>63</v>
      </c>
      <c r="D985" s="115"/>
      <c r="E985" s="116"/>
      <c r="F985" s="115"/>
      <c r="G985" s="117">
        <v>3.106</v>
      </c>
      <c r="H985" s="118"/>
      <c r="I985" s="119"/>
      <c r="K985" s="84"/>
    </row>
    <row r="986" spans="1:11" s="16" customFormat="1" ht="10.5" customHeight="1">
      <c r="A986" s="113" t="s">
        <v>1256</v>
      </c>
      <c r="B986" s="103" t="s">
        <v>348</v>
      </c>
      <c r="C986" s="114">
        <v>75</v>
      </c>
      <c r="D986" s="115" t="s">
        <v>1257</v>
      </c>
      <c r="E986" s="116">
        <v>4</v>
      </c>
      <c r="F986" s="115" t="s">
        <v>1258</v>
      </c>
      <c r="G986" s="117">
        <f>3.743-0.215-0.035-1.12-1.135</f>
        <v>1.2379999999999998</v>
      </c>
      <c r="H986" s="118"/>
      <c r="I986" s="119"/>
      <c r="K986" s="84"/>
    </row>
    <row r="987" spans="1:11" s="16" customFormat="1" ht="10.5" customHeight="1">
      <c r="A987" s="113" t="s">
        <v>1256</v>
      </c>
      <c r="B987" s="103" t="s">
        <v>348</v>
      </c>
      <c r="C987" s="114">
        <v>100</v>
      </c>
      <c r="D987" s="115" t="s">
        <v>1259</v>
      </c>
      <c r="E987" s="116">
        <v>0.886</v>
      </c>
      <c r="F987" s="115"/>
      <c r="G987" s="117">
        <v>1.335</v>
      </c>
      <c r="H987" s="118"/>
      <c r="I987" s="119"/>
      <c r="K987" s="84"/>
    </row>
    <row r="988" spans="1:11" s="16" customFormat="1" ht="10.5" customHeight="1">
      <c r="A988" s="113" t="s">
        <v>1256</v>
      </c>
      <c r="B988" s="103" t="s">
        <v>348</v>
      </c>
      <c r="C988" s="114">
        <v>110</v>
      </c>
      <c r="D988" s="115"/>
      <c r="E988" s="116"/>
      <c r="F988" s="115" t="s">
        <v>1260</v>
      </c>
      <c r="G988" s="117">
        <f>1.44-0.3</f>
        <v>1.14</v>
      </c>
      <c r="H988" s="118"/>
      <c r="I988" s="119"/>
      <c r="K988" s="84"/>
    </row>
    <row r="989" spans="1:11" s="16" customFormat="1" ht="10.5" customHeight="1">
      <c r="A989" s="113" t="s">
        <v>1256</v>
      </c>
      <c r="B989" s="103" t="s">
        <v>348</v>
      </c>
      <c r="C989" s="114">
        <v>160</v>
      </c>
      <c r="D989" s="115"/>
      <c r="E989" s="116"/>
      <c r="F989" s="115"/>
      <c r="G989" s="117"/>
      <c r="H989" s="118">
        <v>2.43</v>
      </c>
      <c r="I989" s="119"/>
      <c r="K989" s="84"/>
    </row>
    <row r="990" spans="1:11" s="16" customFormat="1" ht="10.5" customHeight="1">
      <c r="A990" s="113" t="s">
        <v>1256</v>
      </c>
      <c r="B990" s="103" t="s">
        <v>348</v>
      </c>
      <c r="C990" s="114">
        <v>170</v>
      </c>
      <c r="D990" s="115"/>
      <c r="E990" s="116"/>
      <c r="F990" s="115"/>
      <c r="G990" s="117"/>
      <c r="H990" s="118">
        <v>1.63</v>
      </c>
      <c r="I990" s="119"/>
      <c r="K990" s="84"/>
    </row>
    <row r="991" spans="1:11" s="16" customFormat="1" ht="10.5" customHeight="1">
      <c r="A991" s="113" t="s">
        <v>1256</v>
      </c>
      <c r="B991" s="103" t="s">
        <v>348</v>
      </c>
      <c r="C991" s="114">
        <v>280</v>
      </c>
      <c r="D991" s="115"/>
      <c r="E991" s="116"/>
      <c r="F991" s="115"/>
      <c r="G991" s="117"/>
      <c r="H991" s="118">
        <v>1.65</v>
      </c>
      <c r="I991" s="119"/>
      <c r="K991" s="84"/>
    </row>
    <row r="992" spans="1:11" s="16" customFormat="1" ht="10.5" customHeight="1">
      <c r="A992" s="113" t="s">
        <v>1261</v>
      </c>
      <c r="B992" s="103" t="s">
        <v>348</v>
      </c>
      <c r="C992" s="114">
        <v>85</v>
      </c>
      <c r="D992" s="115"/>
      <c r="E992" s="116"/>
      <c r="F992" s="115" t="s">
        <v>665</v>
      </c>
      <c r="G992" s="117">
        <v>5.584</v>
      </c>
      <c r="H992" s="118"/>
      <c r="I992" s="119"/>
      <c r="K992" s="84"/>
    </row>
    <row r="993" spans="1:11" s="16" customFormat="1" ht="10.5" customHeight="1">
      <c r="A993" s="113" t="s">
        <v>1261</v>
      </c>
      <c r="B993" s="103" t="s">
        <v>348</v>
      </c>
      <c r="C993" s="114">
        <v>150</v>
      </c>
      <c r="D993" s="115" t="s">
        <v>862</v>
      </c>
      <c r="E993" s="116">
        <v>0.606</v>
      </c>
      <c r="F993" s="115"/>
      <c r="G993" s="117"/>
      <c r="H993" s="118"/>
      <c r="I993" s="119"/>
      <c r="K993" s="84"/>
    </row>
    <row r="994" spans="1:11" s="16" customFormat="1" ht="10.5" customHeight="1">
      <c r="A994" s="113" t="s">
        <v>1262</v>
      </c>
      <c r="B994" s="103" t="s">
        <v>348</v>
      </c>
      <c r="C994" s="114" t="s">
        <v>926</v>
      </c>
      <c r="D994" s="115"/>
      <c r="E994" s="116"/>
      <c r="F994" s="115" t="s">
        <v>1263</v>
      </c>
      <c r="G994" s="117">
        <f>0.202-0.026</f>
        <v>0.17600000000000002</v>
      </c>
      <c r="H994" s="118"/>
      <c r="I994" s="119"/>
      <c r="K994" s="84"/>
    </row>
    <row r="995" spans="1:11" s="16" customFormat="1" ht="10.5" customHeight="1">
      <c r="A995" s="113" t="s">
        <v>1262</v>
      </c>
      <c r="B995" s="103" t="s">
        <v>348</v>
      </c>
      <c r="C995" s="114" t="s">
        <v>1264</v>
      </c>
      <c r="D995" s="115"/>
      <c r="E995" s="116"/>
      <c r="F995" s="115" t="s">
        <v>1265</v>
      </c>
      <c r="G995" s="117">
        <f>0.395-0.003-0.05</f>
        <v>0.342</v>
      </c>
      <c r="H995" s="118"/>
      <c r="I995" s="119"/>
      <c r="K995" s="84"/>
    </row>
    <row r="996" spans="1:11" s="16" customFormat="1" ht="10.5" customHeight="1">
      <c r="A996" s="113" t="s">
        <v>1262</v>
      </c>
      <c r="B996" s="103" t="s">
        <v>348</v>
      </c>
      <c r="C996" s="114" t="s">
        <v>1132</v>
      </c>
      <c r="D996" s="115"/>
      <c r="E996" s="116"/>
      <c r="F996" s="115" t="s">
        <v>1266</v>
      </c>
      <c r="G996" s="117">
        <v>0.214</v>
      </c>
      <c r="H996" s="118"/>
      <c r="I996" s="119"/>
      <c r="K996" s="84"/>
    </row>
    <row r="997" spans="1:11" s="16" customFormat="1" ht="10.5" customHeight="1">
      <c r="A997" s="113" t="s">
        <v>1262</v>
      </c>
      <c r="B997" s="103" t="s">
        <v>348</v>
      </c>
      <c r="C997" s="114" t="s">
        <v>1267</v>
      </c>
      <c r="D997" s="115"/>
      <c r="E997" s="116"/>
      <c r="F997" s="115" t="s">
        <v>1268</v>
      </c>
      <c r="G997" s="117">
        <f>0.469-0.03-0.022-0.051-0.07-0.1</f>
        <v>0.19599999999999992</v>
      </c>
      <c r="H997" s="118"/>
      <c r="I997" s="119"/>
      <c r="K997" s="84"/>
    </row>
    <row r="998" spans="1:11" s="16" customFormat="1" ht="10.5" customHeight="1">
      <c r="A998" s="113" t="s">
        <v>1262</v>
      </c>
      <c r="B998" s="103" t="s">
        <v>348</v>
      </c>
      <c r="C998" s="114">
        <v>60</v>
      </c>
      <c r="D998" s="115"/>
      <c r="E998" s="116"/>
      <c r="F998" s="115" t="s">
        <v>1269</v>
      </c>
      <c r="G998" s="117">
        <f>2.328-0.49-0.17-0.17-0.79</f>
        <v>0.708</v>
      </c>
      <c r="H998" s="118"/>
      <c r="I998" s="119"/>
      <c r="K998" s="84"/>
    </row>
    <row r="999" spans="1:11" s="16" customFormat="1" ht="10.5" customHeight="1">
      <c r="A999" s="113" t="s">
        <v>1262</v>
      </c>
      <c r="B999" s="103" t="s">
        <v>348</v>
      </c>
      <c r="C999" s="114">
        <v>70</v>
      </c>
      <c r="D999" s="115"/>
      <c r="E999" s="116"/>
      <c r="F999" s="115" t="s">
        <v>1270</v>
      </c>
      <c r="G999" s="117">
        <f>1.963-0.25-0.285-0.095-0.09-0.108-0.22-0.133</f>
        <v>0.782</v>
      </c>
      <c r="H999" s="118"/>
      <c r="I999" s="119"/>
      <c r="K999" s="84"/>
    </row>
    <row r="1000" spans="1:11" s="16" customFormat="1" ht="10.5" customHeight="1">
      <c r="A1000" s="113" t="s">
        <v>1262</v>
      </c>
      <c r="B1000" s="103" t="s">
        <v>348</v>
      </c>
      <c r="C1000" s="114">
        <v>75</v>
      </c>
      <c r="D1000" s="115"/>
      <c r="E1000" s="116"/>
      <c r="F1000" s="115" t="s">
        <v>1271</v>
      </c>
      <c r="G1000" s="117">
        <f>0.458-0.158</f>
        <v>0.30000000000000004</v>
      </c>
      <c r="H1000" s="118"/>
      <c r="I1000" s="119"/>
      <c r="K1000" s="84"/>
    </row>
    <row r="1001" spans="1:11" s="16" customFormat="1" ht="10.5" customHeight="1">
      <c r="A1001" s="113" t="s">
        <v>1262</v>
      </c>
      <c r="B1001" s="103" t="s">
        <v>348</v>
      </c>
      <c r="C1001" s="114">
        <v>80</v>
      </c>
      <c r="D1001" s="115"/>
      <c r="E1001" s="116"/>
      <c r="F1001" s="115" t="s">
        <v>1272</v>
      </c>
      <c r="G1001" s="117">
        <v>0.385</v>
      </c>
      <c r="H1001" s="118"/>
      <c r="I1001" s="119"/>
      <c r="K1001" s="84"/>
    </row>
    <row r="1002" spans="1:11" s="16" customFormat="1" ht="10.5" customHeight="1">
      <c r="A1002" s="113" t="s">
        <v>1262</v>
      </c>
      <c r="B1002" s="103" t="s">
        <v>348</v>
      </c>
      <c r="C1002" s="114">
        <v>100</v>
      </c>
      <c r="D1002" s="115"/>
      <c r="E1002" s="116"/>
      <c r="F1002" s="115" t="s">
        <v>1273</v>
      </c>
      <c r="G1002" s="117">
        <f>2.953-0.6-0.26</f>
        <v>2.093</v>
      </c>
      <c r="H1002" s="118"/>
      <c r="I1002" s="119"/>
      <c r="K1002" s="84"/>
    </row>
    <row r="1003" spans="1:11" s="16" customFormat="1" ht="10.5" customHeight="1">
      <c r="A1003" s="113" t="s">
        <v>1262</v>
      </c>
      <c r="B1003" s="103" t="s">
        <v>348</v>
      </c>
      <c r="C1003" s="114">
        <v>120</v>
      </c>
      <c r="D1003" s="115"/>
      <c r="E1003" s="116"/>
      <c r="F1003" s="115" t="s">
        <v>1274</v>
      </c>
      <c r="G1003" s="117">
        <f>3.745-0.266-0.267-0.269-1.005-0.275</f>
        <v>1.6630000000000003</v>
      </c>
      <c r="H1003" s="118"/>
      <c r="I1003" s="119"/>
      <c r="K1003" s="84"/>
    </row>
    <row r="1004" spans="1:11" s="16" customFormat="1" ht="10.5" customHeight="1">
      <c r="A1004" s="113" t="s">
        <v>1275</v>
      </c>
      <c r="B1004" s="103" t="s">
        <v>348</v>
      </c>
      <c r="C1004" s="114">
        <v>16</v>
      </c>
      <c r="D1004" s="115" t="s">
        <v>724</v>
      </c>
      <c r="E1004" s="116">
        <f>0.5-0.102-0.034-0.03</f>
        <v>0.33399999999999996</v>
      </c>
      <c r="F1004" s="115"/>
      <c r="G1004" s="117"/>
      <c r="H1004" s="118"/>
      <c r="I1004" s="119"/>
      <c r="K1004" s="84"/>
    </row>
    <row r="1005" spans="1:11" s="16" customFormat="1" ht="10.5" customHeight="1">
      <c r="A1005" s="113" t="s">
        <v>1275</v>
      </c>
      <c r="B1005" s="103" t="s">
        <v>348</v>
      </c>
      <c r="C1005" s="114">
        <v>21</v>
      </c>
      <c r="D1005" s="115"/>
      <c r="E1005" s="116"/>
      <c r="F1005" s="115" t="s">
        <v>1276</v>
      </c>
      <c r="G1005" s="117">
        <f>13.836-0.007-0.054-0.035-0.149-0.125-0.055-0.14</f>
        <v>13.271</v>
      </c>
      <c r="H1005" s="118"/>
      <c r="I1005" s="119"/>
      <c r="K1005" s="84"/>
    </row>
    <row r="1006" spans="1:11" s="16" customFormat="1" ht="10.5" customHeight="1">
      <c r="A1006" s="113" t="s">
        <v>1275</v>
      </c>
      <c r="B1006" s="103" t="s">
        <v>348</v>
      </c>
      <c r="C1006" s="114">
        <v>30</v>
      </c>
      <c r="D1006" s="115" t="s">
        <v>900</v>
      </c>
      <c r="E1006" s="116">
        <f>1.46-0.17-0.6-0.028-0.03-0.034-0.034</f>
        <v>0.564</v>
      </c>
      <c r="F1006" s="115"/>
      <c r="G1006" s="117"/>
      <c r="H1006" s="118"/>
      <c r="I1006" s="119"/>
      <c r="K1006" s="84"/>
    </row>
    <row r="1007" spans="1:11" s="16" customFormat="1" ht="10.5" customHeight="1">
      <c r="A1007" s="113" t="s">
        <v>1275</v>
      </c>
      <c r="B1007" s="103" t="s">
        <v>348</v>
      </c>
      <c r="C1007" s="114">
        <v>34</v>
      </c>
      <c r="D1007" s="115" t="s">
        <v>447</v>
      </c>
      <c r="E1007" s="116">
        <v>0.024</v>
      </c>
      <c r="F1007" s="115"/>
      <c r="G1007" s="117"/>
      <c r="H1007" s="118"/>
      <c r="I1007" s="119"/>
      <c r="K1007" s="84"/>
    </row>
    <row r="1008" spans="1:11" s="16" customFormat="1" ht="10.5" customHeight="1">
      <c r="A1008" s="113" t="s">
        <v>1275</v>
      </c>
      <c r="B1008" s="103" t="s">
        <v>348</v>
      </c>
      <c r="C1008" s="114">
        <v>36</v>
      </c>
      <c r="D1008" s="115" t="s">
        <v>447</v>
      </c>
      <c r="E1008" s="116">
        <v>0.024</v>
      </c>
      <c r="F1008" s="115"/>
      <c r="G1008" s="117"/>
      <c r="H1008" s="118"/>
      <c r="I1008" s="119"/>
      <c r="K1008" s="84"/>
    </row>
    <row r="1009" spans="1:11" s="16" customFormat="1" ht="10.5" customHeight="1">
      <c r="A1009" s="113" t="s">
        <v>1275</v>
      </c>
      <c r="B1009" s="103" t="s">
        <v>348</v>
      </c>
      <c r="C1009" s="114">
        <v>40</v>
      </c>
      <c r="D1009" s="115" t="s">
        <v>1134</v>
      </c>
      <c r="E1009" s="116">
        <f>3.278-0.42-0.064-0.044-0.034-0.006-0.012-1.518-0.086-0.234-0.01</f>
        <v>0.8500000000000003</v>
      </c>
      <c r="F1009" s="115" t="s">
        <v>1134</v>
      </c>
      <c r="G1009" s="122">
        <f>1.518-0.095-0.093-0.005</f>
        <v>1.3250000000000002</v>
      </c>
      <c r="H1009" s="118"/>
      <c r="I1009" s="119"/>
      <c r="K1009" s="84"/>
    </row>
    <row r="1010" spans="1:11" s="16" customFormat="1" ht="10.5" customHeight="1">
      <c r="A1010" s="113" t="s">
        <v>1275</v>
      </c>
      <c r="B1010" s="103" t="s">
        <v>348</v>
      </c>
      <c r="C1010" s="114">
        <v>50</v>
      </c>
      <c r="D1010" s="115"/>
      <c r="E1010" s="116">
        <f>0.49-0.172-0.236</f>
        <v>0.08200000000000002</v>
      </c>
      <c r="F1010" s="115"/>
      <c r="G1010" s="122"/>
      <c r="H1010" s="118"/>
      <c r="I1010" s="119"/>
      <c r="K1010" s="84"/>
    </row>
    <row r="1011" spans="1:11" s="16" customFormat="1" ht="10.5" customHeight="1">
      <c r="A1011" s="113" t="s">
        <v>1275</v>
      </c>
      <c r="B1011" s="103" t="s">
        <v>348</v>
      </c>
      <c r="C1011" s="114">
        <v>70</v>
      </c>
      <c r="D1011" s="115" t="s">
        <v>459</v>
      </c>
      <c r="E1011" s="116">
        <f>0.054+2.9-0.15-0.076-0.152-0.444-0.024-0.15-0.016-0.038-0.152-0.072</f>
        <v>1.6799999999999997</v>
      </c>
      <c r="F1011" s="115"/>
      <c r="G1011" s="117"/>
      <c r="H1011" s="118"/>
      <c r="I1011" s="119"/>
      <c r="K1011" s="84"/>
    </row>
    <row r="1012" spans="1:11" s="16" customFormat="1" ht="10.5" customHeight="1">
      <c r="A1012" s="113" t="s">
        <v>1275</v>
      </c>
      <c r="B1012" s="103" t="s">
        <v>348</v>
      </c>
      <c r="C1012" s="114">
        <v>80</v>
      </c>
      <c r="D1012" s="115"/>
      <c r="E1012" s="116">
        <f>3.36-0.008-0.05-0.12-0.052-0.116-0.62-0.028-0.264-0.87-0.16-0.22</f>
        <v>0.8519999999999994</v>
      </c>
      <c r="F1012" s="115"/>
      <c r="G1012" s="117"/>
      <c r="H1012" s="118"/>
      <c r="I1012" s="119"/>
      <c r="K1012" s="84"/>
    </row>
    <row r="1013" spans="1:11" s="16" customFormat="1" ht="10.5" customHeight="1">
      <c r="A1013" s="113" t="s">
        <v>1275</v>
      </c>
      <c r="B1013" s="103" t="s">
        <v>348</v>
      </c>
      <c r="C1013" s="114">
        <v>90</v>
      </c>
      <c r="D1013" s="115"/>
      <c r="E1013" s="116"/>
      <c r="F1013" s="115" t="s">
        <v>897</v>
      </c>
      <c r="G1013" s="122">
        <f>1.07-0.225</f>
        <v>0.8450000000000001</v>
      </c>
      <c r="H1013" s="118"/>
      <c r="I1013" s="119"/>
      <c r="K1013" s="84"/>
    </row>
    <row r="1014" spans="1:11" s="16" customFormat="1" ht="10.5" customHeight="1">
      <c r="A1014" s="113" t="s">
        <v>1275</v>
      </c>
      <c r="B1014" s="103" t="s">
        <v>348</v>
      </c>
      <c r="C1014" s="114">
        <v>90</v>
      </c>
      <c r="D1014" s="115"/>
      <c r="E1014" s="116"/>
      <c r="F1014" s="115" t="s">
        <v>1277</v>
      </c>
      <c r="G1014" s="117">
        <v>1.08</v>
      </c>
      <c r="H1014" s="118"/>
      <c r="I1014" s="119"/>
      <c r="K1014" s="84"/>
    </row>
    <row r="1015" spans="1:11" s="16" customFormat="1" ht="10.5" customHeight="1">
      <c r="A1015" s="113" t="s">
        <v>1275</v>
      </c>
      <c r="B1015" s="103" t="s">
        <v>348</v>
      </c>
      <c r="C1015" s="114">
        <v>100</v>
      </c>
      <c r="D1015" s="115"/>
      <c r="E1015" s="116">
        <v>0.184</v>
      </c>
      <c r="F1015" s="115"/>
      <c r="G1015" s="117"/>
      <c r="H1015" s="118"/>
      <c r="I1015" s="119" t="s">
        <v>398</v>
      </c>
      <c r="J1015" s="16" t="s">
        <v>390</v>
      </c>
      <c r="K1015" s="84"/>
    </row>
    <row r="1016" spans="1:11" s="16" customFormat="1" ht="10.5" customHeight="1">
      <c r="A1016" s="113" t="s">
        <v>1275</v>
      </c>
      <c r="B1016" s="103" t="s">
        <v>348</v>
      </c>
      <c r="C1016" s="114">
        <v>110</v>
      </c>
      <c r="D1016" s="115"/>
      <c r="E1016" s="116"/>
      <c r="F1016" s="115"/>
      <c r="G1016" s="117"/>
      <c r="H1016" s="118">
        <v>0.91</v>
      </c>
      <c r="I1016" s="119"/>
      <c r="K1016" s="84"/>
    </row>
    <row r="1017" spans="1:11" s="16" customFormat="1" ht="10.5" customHeight="1">
      <c r="A1017" s="113" t="s">
        <v>1275</v>
      </c>
      <c r="B1017" s="103" t="s">
        <v>348</v>
      </c>
      <c r="C1017" s="114">
        <v>130</v>
      </c>
      <c r="D1017" s="115"/>
      <c r="E1017" s="116">
        <f>0.535-0.104-0.044</f>
        <v>0.38700000000000007</v>
      </c>
      <c r="F1017" s="115"/>
      <c r="G1017" s="117"/>
      <c r="H1017" s="118"/>
      <c r="I1017" s="123" t="s">
        <v>398</v>
      </c>
      <c r="J1017" s="16" t="s">
        <v>609</v>
      </c>
      <c r="K1017" s="84"/>
    </row>
    <row r="1018" spans="1:11" s="16" customFormat="1" ht="10.5" customHeight="1">
      <c r="A1018" s="113" t="s">
        <v>1275</v>
      </c>
      <c r="B1018" s="103" t="s">
        <v>348</v>
      </c>
      <c r="C1018" s="114">
        <v>140</v>
      </c>
      <c r="D1018" s="115" t="s">
        <v>978</v>
      </c>
      <c r="E1018" s="116">
        <f>3.87-0.208-0.18-0.216-0.016-0.124-0.002-0.384-0.384-0.186-0.202-0.154-0.01-0.388-0.158-0.1</f>
        <v>1.158</v>
      </c>
      <c r="F1018" s="115"/>
      <c r="G1018" s="117"/>
      <c r="H1018" s="118"/>
      <c r="I1018" s="119">
        <f>0.16</f>
        <v>0.16</v>
      </c>
      <c r="K1018" s="84"/>
    </row>
    <row r="1019" spans="1:11" s="16" customFormat="1" ht="10.5" customHeight="1">
      <c r="A1019" s="113" t="s">
        <v>1275</v>
      </c>
      <c r="B1019" s="103" t="s">
        <v>348</v>
      </c>
      <c r="C1019" s="114">
        <v>150</v>
      </c>
      <c r="D1019" s="115" t="s">
        <v>1278</v>
      </c>
      <c r="E1019" s="116">
        <f>3.9-0.002-0.558-1.118-0.56</f>
        <v>1.6619999999999995</v>
      </c>
      <c r="F1019" s="115"/>
      <c r="G1019" s="117"/>
      <c r="H1019" s="118"/>
      <c r="I1019" s="123">
        <v>0.104</v>
      </c>
      <c r="J1019" s="16" t="s">
        <v>609</v>
      </c>
      <c r="K1019" s="84"/>
    </row>
    <row r="1020" spans="1:11" s="16" customFormat="1" ht="10.5" customHeight="1">
      <c r="A1020" s="113" t="s">
        <v>1279</v>
      </c>
      <c r="B1020" s="103" t="s">
        <v>348</v>
      </c>
      <c r="C1020" s="114">
        <v>150</v>
      </c>
      <c r="D1020" s="115"/>
      <c r="E1020" s="116"/>
      <c r="F1020" s="115" t="s">
        <v>900</v>
      </c>
      <c r="G1020" s="117">
        <v>1.58</v>
      </c>
      <c r="H1020" s="118"/>
      <c r="I1020" s="119"/>
      <c r="K1020" s="84"/>
    </row>
    <row r="1021" spans="1:11" s="16" customFormat="1" ht="10.5" customHeight="1">
      <c r="A1021" s="113" t="s">
        <v>1275</v>
      </c>
      <c r="B1021" s="103" t="s">
        <v>348</v>
      </c>
      <c r="C1021" s="114">
        <v>170</v>
      </c>
      <c r="D1021" s="115" t="s">
        <v>1280</v>
      </c>
      <c r="E1021" s="116">
        <f>0.766-0.304-0.054</f>
        <v>0.40800000000000003</v>
      </c>
      <c r="F1021" s="115"/>
      <c r="G1021" s="117"/>
      <c r="H1021" s="118"/>
      <c r="I1021" s="119"/>
      <c r="K1021" s="84"/>
    </row>
    <row r="1022" spans="1:11" s="16" customFormat="1" ht="10.5" customHeight="1">
      <c r="A1022" s="113" t="s">
        <v>1275</v>
      </c>
      <c r="B1022" s="103" t="s">
        <v>348</v>
      </c>
      <c r="C1022" s="114">
        <v>180</v>
      </c>
      <c r="D1022" s="115"/>
      <c r="E1022" s="116"/>
      <c r="F1022" s="115" t="s">
        <v>1281</v>
      </c>
      <c r="G1022" s="117">
        <f>0.85-0.376</f>
        <v>0.474</v>
      </c>
      <c r="H1022" s="118"/>
      <c r="I1022" s="119"/>
      <c r="K1022" s="84"/>
    </row>
    <row r="1023" spans="1:11" s="16" customFormat="1" ht="10.5" customHeight="1">
      <c r="A1023" s="113" t="s">
        <v>1275</v>
      </c>
      <c r="B1023" s="103" t="s">
        <v>348</v>
      </c>
      <c r="C1023" s="114">
        <v>190</v>
      </c>
      <c r="D1023" s="115"/>
      <c r="E1023" s="116">
        <f>3.83-0.18-0.584-0.208-1.53-0.18</f>
        <v>1.1479999999999997</v>
      </c>
      <c r="F1023" s="115"/>
      <c r="G1023" s="117"/>
      <c r="H1023" s="118"/>
      <c r="I1023" s="119">
        <v>0.2</v>
      </c>
      <c r="K1023" s="90" t="s">
        <v>1282</v>
      </c>
    </row>
    <row r="1024" spans="1:11" s="16" customFormat="1" ht="10.5" customHeight="1">
      <c r="A1024" s="113" t="s">
        <v>1275</v>
      </c>
      <c r="B1024" s="103" t="s">
        <v>348</v>
      </c>
      <c r="C1024" s="114">
        <v>200</v>
      </c>
      <c r="D1024" s="115"/>
      <c r="E1024" s="116">
        <f>4.86-0.056-0.248-2.412-0.806</f>
        <v>1.338</v>
      </c>
      <c r="F1024" s="115"/>
      <c r="G1024" s="117"/>
      <c r="H1024" s="118"/>
      <c r="I1024" s="119"/>
      <c r="K1024" s="84"/>
    </row>
    <row r="1025" spans="1:11" s="16" customFormat="1" ht="10.5" customHeight="1">
      <c r="A1025" s="113" t="s">
        <v>1275</v>
      </c>
      <c r="B1025" s="103" t="s">
        <v>348</v>
      </c>
      <c r="C1025" s="114">
        <v>240</v>
      </c>
      <c r="D1025" s="115" t="s">
        <v>1283</v>
      </c>
      <c r="E1025" s="116">
        <f>4.4-0.024-0.094-0.048-0.23-0.196-0.078-0.868</f>
        <v>2.8619999999999997</v>
      </c>
      <c r="F1025" s="115"/>
      <c r="G1025" s="117"/>
      <c r="H1025" s="118"/>
      <c r="I1025" s="119"/>
      <c r="K1025" s="84"/>
    </row>
    <row r="1026" spans="1:11" s="16" customFormat="1" ht="10.5" customHeight="1">
      <c r="A1026" s="113" t="s">
        <v>1275</v>
      </c>
      <c r="B1026" s="103" t="s">
        <v>348</v>
      </c>
      <c r="C1026" s="114" t="s">
        <v>747</v>
      </c>
      <c r="D1026" s="115" t="s">
        <v>1284</v>
      </c>
      <c r="E1026" s="116">
        <v>2.28</v>
      </c>
      <c r="F1026" s="115"/>
      <c r="G1026" s="117"/>
      <c r="H1026" s="118"/>
      <c r="I1026" s="119"/>
      <c r="K1026" s="84"/>
    </row>
    <row r="1027" spans="1:11" s="16" customFormat="1" ht="10.5" customHeight="1">
      <c r="A1027" s="113" t="s">
        <v>1275</v>
      </c>
      <c r="B1027" s="103" t="s">
        <v>348</v>
      </c>
      <c r="C1027" s="114">
        <v>250</v>
      </c>
      <c r="D1027" s="115" t="s">
        <v>1202</v>
      </c>
      <c r="E1027" s="116">
        <f>1.96+0.77+1.33-0.306-0.948-0.96-0.468-0.2</f>
        <v>1.1780000000000006</v>
      </c>
      <c r="F1027" s="115"/>
      <c r="G1027" s="117"/>
      <c r="H1027" s="118"/>
      <c r="I1027" s="119"/>
      <c r="K1027" s="84"/>
    </row>
    <row r="1028" spans="1:11" s="16" customFormat="1" ht="10.5" customHeight="1">
      <c r="A1028" s="113" t="s">
        <v>1275</v>
      </c>
      <c r="B1028" s="103" t="s">
        <v>348</v>
      </c>
      <c r="C1028" s="114">
        <v>260</v>
      </c>
      <c r="D1028" s="115"/>
      <c r="E1028" s="116"/>
      <c r="F1028" s="115" t="s">
        <v>1285</v>
      </c>
      <c r="G1028" s="117">
        <f>3.55-1.23</f>
        <v>2.32</v>
      </c>
      <c r="H1028" s="118"/>
      <c r="I1028" s="119"/>
      <c r="K1028" s="84"/>
    </row>
    <row r="1029" spans="1:11" s="16" customFormat="1" ht="10.5" customHeight="1">
      <c r="A1029" s="113" t="s">
        <v>1275</v>
      </c>
      <c r="B1029" s="103" t="s">
        <v>348</v>
      </c>
      <c r="C1029" s="114" t="s">
        <v>799</v>
      </c>
      <c r="D1029" s="115" t="s">
        <v>1286</v>
      </c>
      <c r="E1029" s="116">
        <v>21.39</v>
      </c>
      <c r="F1029" s="115"/>
      <c r="G1029" s="117"/>
      <c r="H1029" s="118"/>
      <c r="I1029" s="119"/>
      <c r="K1029" s="84"/>
    </row>
    <row r="1030" spans="1:11" s="16" customFormat="1" ht="10.5" customHeight="1">
      <c r="A1030" s="113" t="s">
        <v>1275</v>
      </c>
      <c r="B1030" s="103" t="s">
        <v>348</v>
      </c>
      <c r="C1030" s="114" t="s">
        <v>982</v>
      </c>
      <c r="D1030" s="115" t="s">
        <v>636</v>
      </c>
      <c r="E1030" s="116">
        <v>5.37</v>
      </c>
      <c r="F1030" s="115"/>
      <c r="G1030" s="117"/>
      <c r="H1030" s="118"/>
      <c r="I1030" s="119"/>
      <c r="K1030" s="84"/>
    </row>
    <row r="1031" spans="1:11" s="16" customFormat="1" ht="10.5" customHeight="1">
      <c r="A1031" s="113" t="s">
        <v>1275</v>
      </c>
      <c r="B1031" s="103" t="s">
        <v>348</v>
      </c>
      <c r="C1031" s="114" t="s">
        <v>1015</v>
      </c>
      <c r="D1031" s="115" t="s">
        <v>636</v>
      </c>
      <c r="E1031" s="116">
        <v>10.76</v>
      </c>
      <c r="F1031" s="115"/>
      <c r="G1031" s="117"/>
      <c r="H1031" s="118"/>
      <c r="I1031" s="119"/>
      <c r="K1031" s="84"/>
    </row>
    <row r="1032" spans="1:11" s="16" customFormat="1" ht="10.5" customHeight="1">
      <c r="A1032" s="113" t="s">
        <v>1275</v>
      </c>
      <c r="B1032" s="103" t="s">
        <v>348</v>
      </c>
      <c r="C1032" s="114" t="s">
        <v>1204</v>
      </c>
      <c r="D1032" s="115" t="s">
        <v>636</v>
      </c>
      <c r="E1032" s="116">
        <v>10.93</v>
      </c>
      <c r="F1032" s="115"/>
      <c r="G1032" s="117"/>
      <c r="H1032" s="118"/>
      <c r="I1032" s="119"/>
      <c r="K1032" s="84"/>
    </row>
    <row r="1033" spans="1:11" s="16" customFormat="1" ht="10.5" customHeight="1">
      <c r="A1033" s="113" t="s">
        <v>1275</v>
      </c>
      <c r="B1033" s="103" t="s">
        <v>348</v>
      </c>
      <c r="C1033" s="114" t="s">
        <v>1287</v>
      </c>
      <c r="D1033" s="115" t="s">
        <v>1175</v>
      </c>
      <c r="E1033" s="116">
        <v>4.01</v>
      </c>
      <c r="F1033" s="115"/>
      <c r="G1033" s="117"/>
      <c r="H1033" s="118"/>
      <c r="I1033" s="119"/>
      <c r="K1033" s="84"/>
    </row>
    <row r="1034" spans="1:11" s="16" customFormat="1" ht="10.5" customHeight="1">
      <c r="A1034" s="113" t="s">
        <v>1275</v>
      </c>
      <c r="B1034" s="103" t="s">
        <v>348</v>
      </c>
      <c r="C1034" s="114" t="s">
        <v>1288</v>
      </c>
      <c r="D1034" s="115" t="s">
        <v>664</v>
      </c>
      <c r="E1034" s="116">
        <v>3.575</v>
      </c>
      <c r="F1034" s="115"/>
      <c r="G1034" s="117"/>
      <c r="H1034" s="118"/>
      <c r="I1034" s="119"/>
      <c r="K1034" s="84"/>
    </row>
    <row r="1035" spans="1:11" s="16" customFormat="1" ht="10.5" customHeight="1">
      <c r="A1035" s="113" t="s">
        <v>1275</v>
      </c>
      <c r="B1035" s="103" t="s">
        <v>348</v>
      </c>
      <c r="C1035" s="114" t="s">
        <v>1289</v>
      </c>
      <c r="D1035" s="115" t="s">
        <v>445</v>
      </c>
      <c r="E1035" s="116">
        <v>1.005</v>
      </c>
      <c r="F1035" s="115"/>
      <c r="G1035" s="117"/>
      <c r="H1035" s="118"/>
      <c r="I1035" s="119"/>
      <c r="K1035" s="84"/>
    </row>
    <row r="1036" spans="1:11" s="16" customFormat="1" ht="10.5" customHeight="1">
      <c r="A1036" s="113" t="s">
        <v>1275</v>
      </c>
      <c r="B1036" s="103" t="s">
        <v>370</v>
      </c>
      <c r="C1036" s="114" t="s">
        <v>1290</v>
      </c>
      <c r="D1036" s="115"/>
      <c r="E1036" s="116"/>
      <c r="F1036" s="115" t="s">
        <v>1291</v>
      </c>
      <c r="G1036" s="117">
        <v>1.309</v>
      </c>
      <c r="H1036" s="118"/>
      <c r="I1036" s="119"/>
      <c r="K1036" s="84"/>
    </row>
    <row r="1037" spans="1:11" s="16" customFormat="1" ht="10.5" customHeight="1">
      <c r="A1037" s="113" t="s">
        <v>1275</v>
      </c>
      <c r="B1037" s="103" t="s">
        <v>370</v>
      </c>
      <c r="C1037" s="114" t="s">
        <v>1292</v>
      </c>
      <c r="D1037" s="115"/>
      <c r="E1037" s="116"/>
      <c r="F1037" s="115" t="s">
        <v>1293</v>
      </c>
      <c r="G1037" s="117">
        <f>1.715-0.051-0.028-0.051-0.775-0.003-0.035</f>
        <v>0.7720000000000001</v>
      </c>
      <c r="H1037" s="118"/>
      <c r="I1037" s="119"/>
      <c r="K1037" s="84"/>
    </row>
    <row r="1038" spans="1:11" s="16" customFormat="1" ht="10.5" customHeight="1">
      <c r="A1038" s="113" t="s">
        <v>1275</v>
      </c>
      <c r="B1038" s="103" t="s">
        <v>370</v>
      </c>
      <c r="C1038" s="114" t="s">
        <v>1294</v>
      </c>
      <c r="D1038" s="115"/>
      <c r="E1038" s="116"/>
      <c r="F1038" s="115" t="s">
        <v>720</v>
      </c>
      <c r="G1038" s="117">
        <f>15.085-0.17-0.507-0.025-0.285-0.057-0.023-2.51-0.485-0.14</f>
        <v>10.883000000000001</v>
      </c>
      <c r="H1038" s="118"/>
      <c r="I1038" s="119"/>
      <c r="K1038" s="84"/>
    </row>
    <row r="1039" spans="1:11" s="16" customFormat="1" ht="13.5" customHeight="1">
      <c r="A1039" s="128"/>
      <c r="B1039" s="109"/>
      <c r="C1039" s="129" t="s">
        <v>1295</v>
      </c>
      <c r="D1039" s="109"/>
      <c r="E1039" s="106"/>
      <c r="F1039" s="109"/>
      <c r="G1039" s="112"/>
      <c r="H1039" s="107"/>
      <c r="I1039" s="108"/>
      <c r="K1039" s="84"/>
    </row>
    <row r="1040" spans="1:11" s="16" customFormat="1" ht="10.5" customHeight="1">
      <c r="A1040" s="113" t="s">
        <v>1130</v>
      </c>
      <c r="B1040" s="103" t="s">
        <v>348</v>
      </c>
      <c r="C1040" s="114">
        <v>3.5</v>
      </c>
      <c r="D1040" s="115"/>
      <c r="E1040" s="116">
        <v>0.048</v>
      </c>
      <c r="F1040" s="115"/>
      <c r="G1040" s="117"/>
      <c r="H1040" s="118"/>
      <c r="I1040" s="119"/>
      <c r="K1040" s="84"/>
    </row>
    <row r="1041" spans="1:11" s="16" customFormat="1" ht="10.5" customHeight="1">
      <c r="A1041" s="113" t="s">
        <v>1296</v>
      </c>
      <c r="B1041" s="103" t="s">
        <v>348</v>
      </c>
      <c r="C1041" s="114">
        <v>4</v>
      </c>
      <c r="D1041" s="115"/>
      <c r="E1041" s="116">
        <f>0.048-0.003</f>
        <v>0.045</v>
      </c>
      <c r="F1041" s="115"/>
      <c r="G1041" s="117"/>
      <c r="H1041" s="118"/>
      <c r="I1041" s="119"/>
      <c r="K1041" s="84"/>
    </row>
    <row r="1042" spans="1:11" s="16" customFormat="1" ht="10.5" customHeight="1">
      <c r="A1042" s="113" t="s">
        <v>1130</v>
      </c>
      <c r="B1042" s="103" t="s">
        <v>348</v>
      </c>
      <c r="C1042" s="114">
        <v>9.5</v>
      </c>
      <c r="D1042" s="115"/>
      <c r="E1042" s="116">
        <f>0.378-0.028-0.03</f>
        <v>0.31999999999999995</v>
      </c>
      <c r="F1042" s="115"/>
      <c r="G1042" s="117"/>
      <c r="H1042" s="118"/>
      <c r="I1042" s="119"/>
      <c r="K1042" s="84"/>
    </row>
    <row r="1043" spans="1:11" s="16" customFormat="1" ht="10.5" customHeight="1">
      <c r="A1043" s="113" t="s">
        <v>1297</v>
      </c>
      <c r="B1043" s="103" t="s">
        <v>348</v>
      </c>
      <c r="C1043" s="114">
        <v>11</v>
      </c>
      <c r="D1043" s="115"/>
      <c r="E1043" s="116">
        <f>0.836-0.2</f>
        <v>0.6359999999999999</v>
      </c>
      <c r="F1043" s="115"/>
      <c r="G1043" s="117"/>
      <c r="H1043" s="118"/>
      <c r="I1043" s="119"/>
      <c r="K1043" s="84"/>
    </row>
    <row r="1044" spans="1:11" s="16" customFormat="1" ht="10.5" customHeight="1">
      <c r="A1044" s="113" t="s">
        <v>1297</v>
      </c>
      <c r="B1044" s="103" t="s">
        <v>348</v>
      </c>
      <c r="C1044" s="114">
        <v>13</v>
      </c>
      <c r="D1044" s="115"/>
      <c r="E1044" s="116">
        <f>2.154-0.1-0.352-0.3-0.066</f>
        <v>1.3359999999999999</v>
      </c>
      <c r="F1044" s="115"/>
      <c r="G1044" s="117"/>
      <c r="H1044" s="118"/>
      <c r="I1044" s="119"/>
      <c r="K1044" s="84"/>
    </row>
    <row r="1045" spans="1:11" s="16" customFormat="1" ht="10.5" customHeight="1">
      <c r="A1045" s="113" t="s">
        <v>1136</v>
      </c>
      <c r="B1045" s="103" t="s">
        <v>348</v>
      </c>
      <c r="C1045" s="114">
        <v>15</v>
      </c>
      <c r="D1045" s="115"/>
      <c r="E1045" s="116">
        <f>0.9-0.06</f>
        <v>0.8400000000000001</v>
      </c>
      <c r="F1045" s="115"/>
      <c r="G1045" s="117"/>
      <c r="H1045" s="118"/>
      <c r="I1045" s="119"/>
      <c r="K1045" s="84"/>
    </row>
    <row r="1046" spans="1:11" s="16" customFormat="1" ht="10.5" customHeight="1">
      <c r="A1046" s="113" t="s">
        <v>1298</v>
      </c>
      <c r="B1046" s="103" t="s">
        <v>348</v>
      </c>
      <c r="C1046" s="114">
        <v>17</v>
      </c>
      <c r="D1046" s="115"/>
      <c r="E1046" s="116">
        <f>1.14-0.05-0.066</f>
        <v>1.0239999999999998</v>
      </c>
      <c r="F1046" s="115"/>
      <c r="G1046" s="117"/>
      <c r="H1046" s="118"/>
      <c r="I1046" s="119"/>
      <c r="K1046" s="84"/>
    </row>
    <row r="1047" spans="1:11" s="16" customFormat="1" ht="10.5" customHeight="1">
      <c r="A1047" s="113" t="s">
        <v>1297</v>
      </c>
      <c r="B1047" s="103" t="s">
        <v>348</v>
      </c>
      <c r="C1047" s="114">
        <v>17</v>
      </c>
      <c r="D1047" s="115"/>
      <c r="E1047" s="116">
        <v>0.036</v>
      </c>
      <c r="F1047" s="115"/>
      <c r="G1047" s="117"/>
      <c r="H1047" s="118"/>
      <c r="I1047" s="119"/>
      <c r="K1047" s="84"/>
    </row>
    <row r="1048" spans="1:11" s="16" customFormat="1" ht="10.5" customHeight="1">
      <c r="A1048" s="113" t="s">
        <v>1296</v>
      </c>
      <c r="B1048" s="103" t="s">
        <v>348</v>
      </c>
      <c r="C1048" s="114">
        <v>19</v>
      </c>
      <c r="D1048" s="115"/>
      <c r="E1048" s="116">
        <v>0.066</v>
      </c>
      <c r="F1048" s="115"/>
      <c r="G1048" s="117"/>
      <c r="H1048" s="118"/>
      <c r="I1048" s="119"/>
      <c r="K1048" s="84"/>
    </row>
    <row r="1049" spans="1:11" s="16" customFormat="1" ht="10.5" customHeight="1">
      <c r="A1049" s="113" t="s">
        <v>1297</v>
      </c>
      <c r="B1049" s="103" t="s">
        <v>348</v>
      </c>
      <c r="C1049" s="114">
        <v>19</v>
      </c>
      <c r="D1049" s="115"/>
      <c r="E1049" s="116">
        <f>0.12-0.02</f>
        <v>0.09999999999999999</v>
      </c>
      <c r="F1049" s="115"/>
      <c r="G1049" s="117"/>
      <c r="H1049" s="118"/>
      <c r="I1049" s="119"/>
      <c r="K1049" s="84"/>
    </row>
    <row r="1050" spans="1:11" s="16" customFormat="1" ht="10.5" customHeight="1">
      <c r="A1050" s="113" t="s">
        <v>1299</v>
      </c>
      <c r="B1050" s="103" t="s">
        <v>348</v>
      </c>
      <c r="C1050" s="114">
        <v>20</v>
      </c>
      <c r="D1050" s="115"/>
      <c r="E1050" s="116">
        <f>0.288-0.052-0.204</f>
        <v>0.032</v>
      </c>
      <c r="F1050" s="115"/>
      <c r="G1050" s="117"/>
      <c r="H1050" s="118"/>
      <c r="I1050" s="119"/>
      <c r="K1050" s="84"/>
    </row>
    <row r="1051" spans="1:11" s="16" customFormat="1" ht="10.5" customHeight="1">
      <c r="A1051" s="113" t="s">
        <v>1296</v>
      </c>
      <c r="B1051" s="103" t="s">
        <v>348</v>
      </c>
      <c r="C1051" s="114">
        <v>25</v>
      </c>
      <c r="D1051" s="115"/>
      <c r="E1051" s="116">
        <f>0.156-0.046</f>
        <v>0.11</v>
      </c>
      <c r="F1051" s="115"/>
      <c r="G1051" s="117"/>
      <c r="H1051" s="118"/>
      <c r="I1051" s="119"/>
      <c r="K1051" s="84"/>
    </row>
    <row r="1052" spans="1:11" s="16" customFormat="1" ht="10.5" customHeight="1">
      <c r="A1052" s="113" t="s">
        <v>1296</v>
      </c>
      <c r="B1052" s="103" t="s">
        <v>348</v>
      </c>
      <c r="C1052" s="114" t="s">
        <v>1300</v>
      </c>
      <c r="D1052" s="115"/>
      <c r="E1052" s="116">
        <v>0.41</v>
      </c>
      <c r="F1052" s="115"/>
      <c r="G1052" s="117"/>
      <c r="H1052" s="118"/>
      <c r="I1052" s="119"/>
      <c r="K1052" s="84"/>
    </row>
    <row r="1053" spans="1:11" s="16" customFormat="1" ht="13.5" customHeight="1">
      <c r="A1053" s="128"/>
      <c r="B1053" s="109"/>
      <c r="C1053" s="129" t="s">
        <v>1301</v>
      </c>
      <c r="D1053" s="109"/>
      <c r="E1053" s="106"/>
      <c r="F1053" s="109"/>
      <c r="G1053" s="112"/>
      <c r="H1053" s="107"/>
      <c r="I1053" s="108"/>
      <c r="K1053" s="84"/>
    </row>
    <row r="1054" spans="1:11" s="16" customFormat="1" ht="10.5" customHeight="1">
      <c r="A1054" s="113" t="s">
        <v>1299</v>
      </c>
      <c r="B1054" s="103" t="s">
        <v>1302</v>
      </c>
      <c r="C1054" s="114">
        <v>7</v>
      </c>
      <c r="D1054" s="115"/>
      <c r="E1054" s="116">
        <f>0.352-0.05-0.2</f>
        <v>0.10199999999999998</v>
      </c>
      <c r="F1054" s="115"/>
      <c r="G1054" s="117"/>
      <c r="H1054" s="118"/>
      <c r="I1054" s="119"/>
      <c r="K1054" s="84"/>
    </row>
    <row r="1055" spans="1:11" s="16" customFormat="1" ht="10.5" customHeight="1">
      <c r="A1055" s="113" t="s">
        <v>1130</v>
      </c>
      <c r="B1055" s="103" t="s">
        <v>1302</v>
      </c>
      <c r="C1055" s="114">
        <v>8</v>
      </c>
      <c r="D1055" s="115"/>
      <c r="E1055" s="116">
        <f>0.19-0.004</f>
        <v>0.186</v>
      </c>
      <c r="F1055" s="115"/>
      <c r="G1055" s="117"/>
      <c r="H1055" s="118"/>
      <c r="I1055" s="119"/>
      <c r="K1055" s="84"/>
    </row>
    <row r="1056" spans="1:11" s="16" customFormat="1" ht="10.5" customHeight="1">
      <c r="A1056" s="113" t="s">
        <v>1136</v>
      </c>
      <c r="B1056" s="103" t="s">
        <v>1302</v>
      </c>
      <c r="C1056" s="114">
        <v>9</v>
      </c>
      <c r="D1056" s="115"/>
      <c r="E1056" s="116">
        <v>0.228</v>
      </c>
      <c r="F1056" s="115"/>
      <c r="G1056" s="117"/>
      <c r="H1056" s="118"/>
      <c r="I1056" s="119"/>
      <c r="K1056" s="84"/>
    </row>
    <row r="1057" spans="1:11" s="16" customFormat="1" ht="10.5" customHeight="1">
      <c r="A1057" s="113" t="s">
        <v>1130</v>
      </c>
      <c r="B1057" s="103" t="s">
        <v>1302</v>
      </c>
      <c r="C1057" s="114">
        <v>10</v>
      </c>
      <c r="D1057" s="115" t="s">
        <v>900</v>
      </c>
      <c r="E1057" s="116">
        <f>0.406-0.2</f>
        <v>0.20600000000000002</v>
      </c>
      <c r="F1057" s="115"/>
      <c r="G1057" s="117"/>
      <c r="H1057" s="118"/>
      <c r="I1057" s="119"/>
      <c r="K1057" s="84"/>
    </row>
    <row r="1058" spans="1:11" s="16" customFormat="1" ht="10.5" customHeight="1">
      <c r="A1058" s="113" t="s">
        <v>1299</v>
      </c>
      <c r="B1058" s="103" t="s">
        <v>1302</v>
      </c>
      <c r="C1058" s="114">
        <v>11</v>
      </c>
      <c r="D1058" s="115"/>
      <c r="E1058" s="116">
        <f>0.38-0.004</f>
        <v>0.376</v>
      </c>
      <c r="F1058" s="115"/>
      <c r="G1058" s="117"/>
      <c r="H1058" s="118"/>
      <c r="I1058" s="119"/>
      <c r="K1058" s="84"/>
    </row>
    <row r="1059" spans="1:11" s="16" customFormat="1" ht="10.5" customHeight="1">
      <c r="A1059" s="113" t="s">
        <v>1130</v>
      </c>
      <c r="B1059" s="103" t="s">
        <v>1302</v>
      </c>
      <c r="C1059" s="114">
        <v>12</v>
      </c>
      <c r="D1059" s="115"/>
      <c r="E1059" s="116">
        <f>0.166-0.062-0.008</f>
        <v>0.096</v>
      </c>
      <c r="F1059" s="115"/>
      <c r="G1059" s="117"/>
      <c r="H1059" s="118"/>
      <c r="I1059" s="119"/>
      <c r="K1059" s="84"/>
    </row>
    <row r="1060" spans="1:11" s="16" customFormat="1" ht="10.5" customHeight="1">
      <c r="A1060" s="113" t="s">
        <v>1299</v>
      </c>
      <c r="B1060" s="103" t="s">
        <v>1302</v>
      </c>
      <c r="C1060" s="114">
        <v>12</v>
      </c>
      <c r="D1060" s="115"/>
      <c r="E1060" s="116">
        <v>0.114</v>
      </c>
      <c r="F1060" s="115"/>
      <c r="G1060" s="117"/>
      <c r="H1060" s="118"/>
      <c r="I1060" s="119"/>
      <c r="K1060" s="84"/>
    </row>
    <row r="1061" spans="1:11" s="16" customFormat="1" ht="10.5" customHeight="1">
      <c r="A1061" s="113" t="s">
        <v>1303</v>
      </c>
      <c r="B1061" s="103" t="s">
        <v>1302</v>
      </c>
      <c r="C1061" s="114">
        <v>14</v>
      </c>
      <c r="D1061" s="115"/>
      <c r="E1061" s="116"/>
      <c r="F1061" s="115" t="s">
        <v>1304</v>
      </c>
      <c r="G1061" s="117">
        <f>0.32-0.102</f>
        <v>0.21800000000000003</v>
      </c>
      <c r="H1061" s="118"/>
      <c r="I1061" s="119"/>
      <c r="K1061" s="84"/>
    </row>
    <row r="1062" spans="1:11" s="16" customFormat="1" ht="10.5" customHeight="1">
      <c r="A1062" s="113" t="s">
        <v>1296</v>
      </c>
      <c r="B1062" s="103" t="s">
        <v>1302</v>
      </c>
      <c r="C1062" s="114">
        <v>14</v>
      </c>
      <c r="D1062" s="115"/>
      <c r="E1062" s="116">
        <f>0.34-0.012-0.026-0.152-0.008</f>
        <v>0.142</v>
      </c>
      <c r="F1062" s="115"/>
      <c r="G1062" s="117"/>
      <c r="H1062" s="118"/>
      <c r="I1062" s="119"/>
      <c r="K1062" s="84"/>
    </row>
    <row r="1063" spans="1:11" s="16" customFormat="1" ht="10.5" customHeight="1">
      <c r="A1063" s="113" t="s">
        <v>1296</v>
      </c>
      <c r="B1063" s="103" t="s">
        <v>1305</v>
      </c>
      <c r="C1063" s="114">
        <v>16</v>
      </c>
      <c r="D1063" s="115"/>
      <c r="E1063" s="116"/>
      <c r="F1063" s="115"/>
      <c r="G1063" s="117">
        <v>0.176</v>
      </c>
      <c r="H1063" s="118"/>
      <c r="I1063" s="119"/>
      <c r="K1063" s="84"/>
    </row>
    <row r="1064" spans="1:11" s="16" customFormat="1" ht="10.5" customHeight="1">
      <c r="A1064" s="113" t="s">
        <v>1306</v>
      </c>
      <c r="B1064" s="103" t="s">
        <v>1305</v>
      </c>
      <c r="C1064" s="114">
        <v>17</v>
      </c>
      <c r="D1064" s="115"/>
      <c r="E1064" s="116"/>
      <c r="F1064" s="115"/>
      <c r="G1064" s="117">
        <f>0.86-0.1-0.003-0.011-0.011</f>
        <v>0.735</v>
      </c>
      <c r="H1064" s="118"/>
      <c r="I1064" s="119"/>
      <c r="K1064" s="84"/>
    </row>
    <row r="1065" spans="1:11" s="16" customFormat="1" ht="10.5" customHeight="1">
      <c r="A1065" s="113" t="s">
        <v>1303</v>
      </c>
      <c r="B1065" s="103" t="s">
        <v>1302</v>
      </c>
      <c r="C1065" s="114">
        <v>19</v>
      </c>
      <c r="D1065" s="115"/>
      <c r="E1065" s="116"/>
      <c r="F1065" s="115"/>
      <c r="G1065" s="117">
        <f>0.884-0.099-0.1</f>
        <v>0.685</v>
      </c>
      <c r="H1065" s="118"/>
      <c r="I1065" s="119"/>
      <c r="K1065" s="84"/>
    </row>
    <row r="1066" spans="1:11" s="16" customFormat="1" ht="10.5" customHeight="1">
      <c r="A1066" s="113" t="s">
        <v>1296</v>
      </c>
      <c r="B1066" s="103" t="s">
        <v>1305</v>
      </c>
      <c r="C1066" s="114">
        <v>19</v>
      </c>
      <c r="D1066" s="115"/>
      <c r="E1066" s="116"/>
      <c r="F1066" s="115" t="s">
        <v>1307</v>
      </c>
      <c r="G1066" s="117">
        <f>3.703-0.019-0.015-0.107-0.101-0.199-0.058-0.1-0.009-0.038-0.057-0.02-0.01-0.027</f>
        <v>2.943</v>
      </c>
      <c r="H1066" s="118"/>
      <c r="I1066" s="119"/>
      <c r="K1066" s="84"/>
    </row>
    <row r="1067" spans="1:11" s="16" customFormat="1" ht="10.5" customHeight="1">
      <c r="A1067" s="113" t="s">
        <v>1303</v>
      </c>
      <c r="B1067" s="103" t="s">
        <v>1302</v>
      </c>
      <c r="C1067" s="114">
        <v>22</v>
      </c>
      <c r="D1067" s="115"/>
      <c r="E1067" s="116"/>
      <c r="F1067" s="115" t="s">
        <v>1308</v>
      </c>
      <c r="G1067" s="117">
        <f>0.23-0.156</f>
        <v>0.07400000000000001</v>
      </c>
      <c r="H1067" s="118"/>
      <c r="I1067" s="119"/>
      <c r="K1067" s="84"/>
    </row>
    <row r="1068" spans="1:11" s="16" customFormat="1" ht="10.5" customHeight="1">
      <c r="A1068" s="113" t="s">
        <v>1299</v>
      </c>
      <c r="B1068" s="103" t="s">
        <v>1302</v>
      </c>
      <c r="C1068" s="114">
        <v>22</v>
      </c>
      <c r="D1068" s="115"/>
      <c r="E1068" s="116">
        <v>0.224</v>
      </c>
      <c r="F1068" s="115"/>
      <c r="G1068" s="117"/>
      <c r="H1068" s="118"/>
      <c r="I1068" s="119"/>
      <c r="K1068" s="84"/>
    </row>
    <row r="1069" spans="1:11" s="16" customFormat="1" ht="10.5" customHeight="1">
      <c r="A1069" s="113" t="s">
        <v>1306</v>
      </c>
      <c r="B1069" s="103" t="s">
        <v>1305</v>
      </c>
      <c r="C1069" s="114">
        <v>22</v>
      </c>
      <c r="D1069" s="115"/>
      <c r="E1069" s="116"/>
      <c r="F1069" s="115" t="s">
        <v>1309</v>
      </c>
      <c r="G1069" s="117">
        <f>0.072-0.015</f>
        <v>0.056999999999999995</v>
      </c>
      <c r="H1069" s="118"/>
      <c r="I1069" s="119"/>
      <c r="K1069" s="84"/>
    </row>
    <row r="1070" spans="1:11" s="16" customFormat="1" ht="10.5" customHeight="1">
      <c r="A1070" s="113" t="s">
        <v>1303</v>
      </c>
      <c r="B1070" s="103" t="s">
        <v>1302</v>
      </c>
      <c r="C1070" s="114">
        <v>24</v>
      </c>
      <c r="D1070" s="115"/>
      <c r="E1070" s="116"/>
      <c r="F1070" s="115" t="s">
        <v>1310</v>
      </c>
      <c r="G1070" s="117">
        <f>0.3-0.008-0.037</f>
        <v>0.255</v>
      </c>
      <c r="H1070" s="118"/>
      <c r="I1070" s="119"/>
      <c r="K1070" s="84"/>
    </row>
    <row r="1071" spans="1:11" s="16" customFormat="1" ht="10.5" customHeight="1">
      <c r="A1071" s="113" t="s">
        <v>1303</v>
      </c>
      <c r="B1071" s="103" t="s">
        <v>1302</v>
      </c>
      <c r="C1071" s="114">
        <v>27</v>
      </c>
      <c r="D1071" s="115"/>
      <c r="E1071" s="116"/>
      <c r="F1071" s="115" t="s">
        <v>1311</v>
      </c>
      <c r="G1071" s="117">
        <v>0.32</v>
      </c>
      <c r="H1071" s="118"/>
      <c r="I1071" s="119"/>
      <c r="K1071" s="84"/>
    </row>
    <row r="1072" spans="1:11" s="16" customFormat="1" ht="10.5" customHeight="1">
      <c r="A1072" s="113" t="s">
        <v>1296</v>
      </c>
      <c r="B1072" s="103" t="s">
        <v>1302</v>
      </c>
      <c r="C1072" s="114">
        <v>27</v>
      </c>
      <c r="D1072" s="115" t="s">
        <v>862</v>
      </c>
      <c r="E1072" s="116">
        <f>0.436-0.1-0.05-0.034</f>
        <v>0.252</v>
      </c>
      <c r="F1072" s="115"/>
      <c r="G1072" s="117"/>
      <c r="H1072" s="118"/>
      <c r="I1072" s="119"/>
      <c r="K1072" s="84"/>
    </row>
    <row r="1073" spans="1:11" s="16" customFormat="1" ht="10.5" customHeight="1">
      <c r="A1073" s="113" t="s">
        <v>1299</v>
      </c>
      <c r="B1073" s="103" t="s">
        <v>1302</v>
      </c>
      <c r="C1073" s="114">
        <v>27</v>
      </c>
      <c r="D1073" s="115" t="s">
        <v>862</v>
      </c>
      <c r="E1073" s="116">
        <f>0.262-0.044</f>
        <v>0.21800000000000003</v>
      </c>
      <c r="F1073" s="115"/>
      <c r="G1073" s="117"/>
      <c r="H1073" s="118"/>
      <c r="I1073" s="119">
        <v>0.022</v>
      </c>
      <c r="K1073" s="84"/>
    </row>
    <row r="1074" spans="1:11" s="16" customFormat="1" ht="10.5" customHeight="1">
      <c r="A1074" s="113" t="s">
        <v>1136</v>
      </c>
      <c r="B1074" s="103" t="s">
        <v>1305</v>
      </c>
      <c r="C1074" s="114">
        <v>27</v>
      </c>
      <c r="D1074" s="115"/>
      <c r="E1074" s="116"/>
      <c r="F1074" s="115" t="s">
        <v>1312</v>
      </c>
      <c r="G1074" s="117">
        <f>0.081-0.025-0.028</f>
        <v>0.028</v>
      </c>
      <c r="H1074" s="118"/>
      <c r="I1074" s="119"/>
      <c r="K1074" s="84"/>
    </row>
    <row r="1075" spans="1:11" s="16" customFormat="1" ht="10.5" customHeight="1">
      <c r="A1075" s="113" t="s">
        <v>1296</v>
      </c>
      <c r="B1075" s="103" t="s">
        <v>1305</v>
      </c>
      <c r="C1075" s="114">
        <v>27</v>
      </c>
      <c r="D1075" s="115"/>
      <c r="E1075" s="116"/>
      <c r="F1075" s="115" t="s">
        <v>1313</v>
      </c>
      <c r="G1075" s="117">
        <f>0.617-0.115-0.081</f>
        <v>0.421</v>
      </c>
      <c r="H1075" s="118"/>
      <c r="I1075" s="119"/>
      <c r="K1075" s="84"/>
    </row>
    <row r="1076" spans="1:11" s="16" customFormat="1" ht="10.5" customHeight="1">
      <c r="A1076" s="113" t="s">
        <v>1303</v>
      </c>
      <c r="B1076" s="103" t="s">
        <v>1302</v>
      </c>
      <c r="C1076" s="114">
        <v>30</v>
      </c>
      <c r="D1076" s="115"/>
      <c r="E1076" s="116"/>
      <c r="F1076" s="115" t="s">
        <v>1314</v>
      </c>
      <c r="G1076" s="117">
        <v>0.101</v>
      </c>
      <c r="H1076" s="118"/>
      <c r="I1076" s="119"/>
      <c r="K1076" s="84"/>
    </row>
    <row r="1077" spans="1:11" s="16" customFormat="1" ht="10.5" customHeight="1">
      <c r="A1077" s="113" t="s">
        <v>1303</v>
      </c>
      <c r="B1077" s="103" t="s">
        <v>1302</v>
      </c>
      <c r="C1077" s="114">
        <v>32</v>
      </c>
      <c r="D1077" s="115"/>
      <c r="E1077" s="116"/>
      <c r="F1077" s="115"/>
      <c r="G1077" s="117">
        <f>0.089-0.057</f>
        <v>0.031999999999999994</v>
      </c>
      <c r="H1077" s="118"/>
      <c r="I1077" s="119"/>
      <c r="K1077" s="84"/>
    </row>
    <row r="1078" spans="1:11" s="16" customFormat="1" ht="10.5" customHeight="1">
      <c r="A1078" s="113" t="s">
        <v>1306</v>
      </c>
      <c r="B1078" s="103" t="s">
        <v>1305</v>
      </c>
      <c r="C1078" s="114">
        <v>32</v>
      </c>
      <c r="D1078" s="115"/>
      <c r="E1078" s="116">
        <f>2.02-0.3-1.54-0.03-0.046-0.044</f>
        <v>0.05999999999999994</v>
      </c>
      <c r="F1078" s="115"/>
      <c r="G1078" s="117"/>
      <c r="H1078" s="118"/>
      <c r="I1078" s="119"/>
      <c r="K1078" s="84"/>
    </row>
    <row r="1079" spans="1:11" s="16" customFormat="1" ht="10.5" customHeight="1">
      <c r="A1079" s="113" t="s">
        <v>1303</v>
      </c>
      <c r="B1079" s="103" t="s">
        <v>1302</v>
      </c>
      <c r="C1079" s="114">
        <v>36</v>
      </c>
      <c r="D1079" s="115"/>
      <c r="E1079" s="116"/>
      <c r="F1079" s="115" t="s">
        <v>405</v>
      </c>
      <c r="G1079" s="117">
        <f>0.508-0.08-0.108-0.112-0.08-0.063</f>
        <v>0.065</v>
      </c>
      <c r="H1079" s="118"/>
      <c r="I1079" s="119"/>
      <c r="K1079" s="84"/>
    </row>
    <row r="1080" spans="1:11" s="16" customFormat="1" ht="10.5" customHeight="1">
      <c r="A1080" s="113" t="s">
        <v>1306</v>
      </c>
      <c r="B1080" s="103" t="s">
        <v>1305</v>
      </c>
      <c r="C1080" s="114">
        <v>36</v>
      </c>
      <c r="D1080" s="115"/>
      <c r="E1080" s="116">
        <f>3-0.296</f>
        <v>2.704</v>
      </c>
      <c r="F1080" s="115"/>
      <c r="G1080" s="117"/>
      <c r="H1080" s="118"/>
      <c r="I1080" s="119"/>
      <c r="K1080" s="84"/>
    </row>
    <row r="1081" spans="1:11" s="16" customFormat="1" ht="10.5" customHeight="1">
      <c r="A1081" s="113" t="s">
        <v>1306</v>
      </c>
      <c r="B1081" s="103" t="s">
        <v>1305</v>
      </c>
      <c r="C1081" s="114">
        <v>40</v>
      </c>
      <c r="D1081" s="115"/>
      <c r="E1081" s="116"/>
      <c r="F1081" s="115" t="s">
        <v>442</v>
      </c>
      <c r="G1081" s="117">
        <f>2.2-0.015</f>
        <v>2.185</v>
      </c>
      <c r="H1081" s="118"/>
      <c r="I1081" s="119"/>
      <c r="K1081" s="84"/>
    </row>
    <row r="1082" spans="1:11" s="16" customFormat="1" ht="10.5" customHeight="1">
      <c r="A1082" s="113" t="s">
        <v>1296</v>
      </c>
      <c r="B1082" s="103" t="s">
        <v>1305</v>
      </c>
      <c r="C1082" s="114">
        <v>40</v>
      </c>
      <c r="D1082" s="115"/>
      <c r="E1082" s="116"/>
      <c r="F1082" s="115" t="s">
        <v>1315</v>
      </c>
      <c r="G1082" s="117">
        <v>2.36</v>
      </c>
      <c r="H1082" s="118"/>
      <c r="I1082" s="119"/>
      <c r="K1082" s="84"/>
    </row>
    <row r="1083" spans="1:11" s="16" customFormat="1" ht="10.5" customHeight="1">
      <c r="A1083" s="113" t="s">
        <v>1306</v>
      </c>
      <c r="B1083" s="103" t="s">
        <v>1305</v>
      </c>
      <c r="C1083" s="114">
        <v>41</v>
      </c>
      <c r="D1083" s="115"/>
      <c r="E1083" s="116">
        <f>3.18-0.332</f>
        <v>2.8480000000000003</v>
      </c>
      <c r="F1083" s="115"/>
      <c r="G1083" s="117"/>
      <c r="H1083" s="118"/>
      <c r="I1083" s="119"/>
      <c r="K1083" s="84"/>
    </row>
    <row r="1084" spans="1:11" s="16" customFormat="1" ht="10.5" customHeight="1">
      <c r="A1084" s="113" t="s">
        <v>1136</v>
      </c>
      <c r="B1084" s="103" t="s">
        <v>1305</v>
      </c>
      <c r="C1084" s="114">
        <v>46</v>
      </c>
      <c r="D1084" s="115"/>
      <c r="E1084" s="116"/>
      <c r="F1084" s="115" t="s">
        <v>1002</v>
      </c>
      <c r="G1084" s="117">
        <f>0.333-0.182</f>
        <v>0.15100000000000002</v>
      </c>
      <c r="H1084" s="118"/>
      <c r="I1084" s="119"/>
      <c r="K1084" s="84"/>
    </row>
    <row r="1085" spans="1:11" s="16" customFormat="1" ht="10.5" customHeight="1">
      <c r="A1085" s="113" t="s">
        <v>1303</v>
      </c>
      <c r="B1085" s="103" t="s">
        <v>1302</v>
      </c>
      <c r="C1085" s="114">
        <v>50</v>
      </c>
      <c r="D1085" s="115"/>
      <c r="E1085" s="116"/>
      <c r="F1085" s="115" t="s">
        <v>1316</v>
      </c>
      <c r="G1085" s="117">
        <v>1.028</v>
      </c>
      <c r="H1085" s="118"/>
      <c r="I1085" s="119"/>
      <c r="K1085" s="84"/>
    </row>
    <row r="1086" spans="1:11" s="16" customFormat="1" ht="13.5" customHeight="1">
      <c r="A1086" s="128"/>
      <c r="B1086" s="109"/>
      <c r="C1086" s="129" t="s">
        <v>1317</v>
      </c>
      <c r="D1086" s="109"/>
      <c r="E1086" s="106"/>
      <c r="F1086" s="109"/>
      <c r="G1086" s="112"/>
      <c r="H1086" s="107"/>
      <c r="I1086" s="108"/>
      <c r="K1086" s="84"/>
    </row>
    <row r="1087" spans="1:11" s="16" customFormat="1" ht="10.5" customHeight="1">
      <c r="A1087" s="113" t="s">
        <v>1318</v>
      </c>
      <c r="B1087" s="103" t="s">
        <v>348</v>
      </c>
      <c r="C1087" s="114">
        <v>20</v>
      </c>
      <c r="D1087" s="115"/>
      <c r="E1087" s="116"/>
      <c r="F1087" s="115" t="s">
        <v>1319</v>
      </c>
      <c r="G1087" s="117">
        <v>0.039</v>
      </c>
      <c r="H1087" s="118"/>
      <c r="I1087" s="119"/>
      <c r="K1087" s="84"/>
    </row>
    <row r="1088" spans="1:11" s="16" customFormat="1" ht="10.5" customHeight="1">
      <c r="A1088" s="113" t="s">
        <v>1320</v>
      </c>
      <c r="B1088" s="103" t="s">
        <v>348</v>
      </c>
      <c r="C1088" s="114">
        <v>22</v>
      </c>
      <c r="D1088" s="115"/>
      <c r="E1088" s="116"/>
      <c r="F1088" s="115" t="s">
        <v>1107</v>
      </c>
      <c r="G1088" s="117">
        <v>0.166</v>
      </c>
      <c r="H1088" s="118"/>
      <c r="I1088" s="119"/>
      <c r="K1088" s="84"/>
    </row>
    <row r="1089" spans="1:11" s="16" customFormat="1" ht="10.5" customHeight="1">
      <c r="A1089" s="113" t="s">
        <v>1321</v>
      </c>
      <c r="B1089" s="103" t="s">
        <v>348</v>
      </c>
      <c r="C1089" s="114">
        <v>27</v>
      </c>
      <c r="D1089" s="115" t="s">
        <v>442</v>
      </c>
      <c r="E1089" s="116">
        <v>0.02</v>
      </c>
      <c r="F1089" s="115"/>
      <c r="G1089" s="117"/>
      <c r="H1089" s="118"/>
      <c r="I1089" s="119"/>
      <c r="K1089" s="84"/>
    </row>
    <row r="1090" spans="1:11" s="16" customFormat="1" ht="10.5" customHeight="1">
      <c r="A1090" s="113" t="s">
        <v>1322</v>
      </c>
      <c r="B1090" s="103" t="s">
        <v>348</v>
      </c>
      <c r="C1090" s="114">
        <v>32</v>
      </c>
      <c r="D1090" s="115"/>
      <c r="E1090" s="116"/>
      <c r="F1090" s="115"/>
      <c r="G1090" s="117">
        <v>1.9</v>
      </c>
      <c r="H1090" s="118"/>
      <c r="I1090" s="119"/>
      <c r="K1090" s="84"/>
    </row>
    <row r="1091" spans="1:11" s="16" customFormat="1" ht="10.5" customHeight="1">
      <c r="A1091" s="113" t="s">
        <v>1323</v>
      </c>
      <c r="B1091" s="103" t="s">
        <v>348</v>
      </c>
      <c r="C1091" s="114">
        <v>32</v>
      </c>
      <c r="D1091" s="115"/>
      <c r="E1091" s="116"/>
      <c r="F1091" s="115" t="s">
        <v>459</v>
      </c>
      <c r="G1091" s="117">
        <f>4.02-0.37</f>
        <v>3.6499999999999995</v>
      </c>
      <c r="H1091" s="118"/>
      <c r="I1091" s="119"/>
      <c r="K1091" s="84"/>
    </row>
    <row r="1092" spans="1:11" s="16" customFormat="1" ht="10.5" customHeight="1">
      <c r="A1092" s="113" t="s">
        <v>1324</v>
      </c>
      <c r="B1092" s="103" t="s">
        <v>348</v>
      </c>
      <c r="C1092" s="114">
        <v>34</v>
      </c>
      <c r="D1092" s="115"/>
      <c r="E1092" s="116"/>
      <c r="F1092" s="115"/>
      <c r="G1092" s="117">
        <v>7.23</v>
      </c>
      <c r="H1092" s="118"/>
      <c r="I1092" s="119"/>
      <c r="K1092" s="84"/>
    </row>
    <row r="1093" spans="1:11" s="16" customFormat="1" ht="10.5" customHeight="1">
      <c r="A1093" s="113" t="s">
        <v>1325</v>
      </c>
      <c r="B1093" s="103" t="s">
        <v>348</v>
      </c>
      <c r="C1093" s="114">
        <v>34</v>
      </c>
      <c r="D1093" s="115"/>
      <c r="E1093" s="116"/>
      <c r="F1093" s="115" t="s">
        <v>1326</v>
      </c>
      <c r="G1093" s="117">
        <v>0.13</v>
      </c>
      <c r="H1093" s="118"/>
      <c r="I1093" s="119"/>
      <c r="K1093" s="84"/>
    </row>
    <row r="1094" spans="1:11" s="16" customFormat="1" ht="10.5" customHeight="1">
      <c r="A1094" s="113" t="s">
        <v>1327</v>
      </c>
      <c r="B1094" s="103" t="s">
        <v>348</v>
      </c>
      <c r="C1094" s="114">
        <v>35</v>
      </c>
      <c r="D1094" s="115"/>
      <c r="E1094" s="116"/>
      <c r="F1094" s="115"/>
      <c r="G1094" s="117">
        <v>0.575</v>
      </c>
      <c r="H1094" s="118"/>
      <c r="I1094" s="119"/>
      <c r="K1094" s="84"/>
    </row>
    <row r="1095" spans="1:11" s="16" customFormat="1" ht="10.5" customHeight="1">
      <c r="A1095" s="113" t="s">
        <v>1325</v>
      </c>
      <c r="B1095" s="103" t="s">
        <v>348</v>
      </c>
      <c r="C1095" s="114">
        <v>35</v>
      </c>
      <c r="D1095" s="115"/>
      <c r="E1095" s="116"/>
      <c r="F1095" s="115" t="s">
        <v>481</v>
      </c>
      <c r="G1095" s="117">
        <v>0.435</v>
      </c>
      <c r="H1095" s="118"/>
      <c r="I1095" s="119"/>
      <c r="K1095" s="84"/>
    </row>
    <row r="1096" spans="1:11" s="16" customFormat="1" ht="10.5" customHeight="1">
      <c r="A1096" s="113" t="s">
        <v>1328</v>
      </c>
      <c r="B1096" s="103" t="s">
        <v>348</v>
      </c>
      <c r="C1096" s="114">
        <v>40</v>
      </c>
      <c r="D1096" s="115"/>
      <c r="E1096" s="116"/>
      <c r="F1096" s="115" t="s">
        <v>1329</v>
      </c>
      <c r="G1096" s="117">
        <v>1.309</v>
      </c>
      <c r="H1096" s="118"/>
      <c r="I1096" s="119"/>
      <c r="K1096" s="84"/>
    </row>
    <row r="1097" spans="1:11" s="16" customFormat="1" ht="10.5" customHeight="1">
      <c r="A1097" s="113" t="s">
        <v>1330</v>
      </c>
      <c r="B1097" s="103" t="s">
        <v>348</v>
      </c>
      <c r="C1097" s="114">
        <v>42</v>
      </c>
      <c r="D1097" s="134" t="s">
        <v>724</v>
      </c>
      <c r="E1097" s="116">
        <v>0.136</v>
      </c>
      <c r="F1097" s="134"/>
      <c r="G1097" s="117"/>
      <c r="H1097" s="118"/>
      <c r="I1097" s="119"/>
      <c r="K1097" s="84"/>
    </row>
    <row r="1098" spans="1:11" s="16" customFormat="1" ht="10.5" customHeight="1">
      <c r="A1098" s="113" t="s">
        <v>1331</v>
      </c>
      <c r="B1098" s="103" t="s">
        <v>348</v>
      </c>
      <c r="C1098" s="114">
        <v>44</v>
      </c>
      <c r="D1098" s="115"/>
      <c r="E1098" s="116"/>
      <c r="F1098" s="115" t="s">
        <v>655</v>
      </c>
      <c r="G1098" s="117">
        <f>0.98-0.11</f>
        <v>0.87</v>
      </c>
      <c r="H1098" s="118"/>
      <c r="I1098" s="119"/>
      <c r="K1098" s="84"/>
    </row>
    <row r="1099" spans="1:11" s="16" customFormat="1" ht="10.5" customHeight="1">
      <c r="A1099" s="113" t="s">
        <v>1324</v>
      </c>
      <c r="B1099" s="103" t="s">
        <v>348</v>
      </c>
      <c r="C1099" s="114">
        <v>45</v>
      </c>
      <c r="D1099" s="115"/>
      <c r="E1099" s="116"/>
      <c r="F1099" s="115" t="s">
        <v>459</v>
      </c>
      <c r="G1099" s="117">
        <f>1.12-0.06</f>
        <v>1.06</v>
      </c>
      <c r="H1099" s="118"/>
      <c r="I1099" s="119"/>
      <c r="K1099" s="84"/>
    </row>
    <row r="1100" spans="1:11" s="16" customFormat="1" ht="10.5" customHeight="1">
      <c r="A1100" s="113" t="s">
        <v>1332</v>
      </c>
      <c r="B1100" s="103" t="s">
        <v>348</v>
      </c>
      <c r="C1100" s="114">
        <v>48</v>
      </c>
      <c r="D1100" s="115"/>
      <c r="E1100" s="116"/>
      <c r="F1100" s="115"/>
      <c r="G1100" s="117">
        <v>3.78</v>
      </c>
      <c r="H1100" s="118"/>
      <c r="I1100" s="119"/>
      <c r="K1100" s="84"/>
    </row>
    <row r="1101" spans="1:11" s="16" customFormat="1" ht="10.5" customHeight="1">
      <c r="A1101" s="113" t="s">
        <v>1322</v>
      </c>
      <c r="B1101" s="103" t="s">
        <v>348</v>
      </c>
      <c r="C1101" s="114">
        <v>52</v>
      </c>
      <c r="D1101" s="115"/>
      <c r="E1101" s="116"/>
      <c r="F1101" s="115"/>
      <c r="G1101" s="117">
        <v>1.15</v>
      </c>
      <c r="H1101" s="118"/>
      <c r="I1101" s="119"/>
      <c r="K1101" s="84"/>
    </row>
    <row r="1102" spans="1:11" s="16" customFormat="1" ht="10.5" customHeight="1">
      <c r="A1102" s="113" t="s">
        <v>1323</v>
      </c>
      <c r="B1102" s="103" t="s">
        <v>348</v>
      </c>
      <c r="C1102" s="114">
        <v>52</v>
      </c>
      <c r="D1102" s="115"/>
      <c r="E1102" s="116"/>
      <c r="F1102" s="115"/>
      <c r="G1102" s="117">
        <f>1.245-0.15</f>
        <v>1.0950000000000002</v>
      </c>
      <c r="H1102" s="118"/>
      <c r="I1102" s="119"/>
      <c r="K1102" s="84"/>
    </row>
    <row r="1103" spans="1:11" s="16" customFormat="1" ht="10.5" customHeight="1">
      <c r="A1103" s="113" t="s">
        <v>1325</v>
      </c>
      <c r="B1103" s="103" t="s">
        <v>348</v>
      </c>
      <c r="C1103" s="114">
        <v>58</v>
      </c>
      <c r="D1103" s="115"/>
      <c r="E1103" s="116"/>
      <c r="F1103" s="115" t="s">
        <v>1333</v>
      </c>
      <c r="G1103" s="117">
        <v>0.355</v>
      </c>
      <c r="H1103" s="118"/>
      <c r="I1103" s="119"/>
      <c r="K1103" s="84"/>
    </row>
    <row r="1104" spans="1:11" s="16" customFormat="1" ht="10.5" customHeight="1">
      <c r="A1104" s="113" t="s">
        <v>1334</v>
      </c>
      <c r="B1104" s="103" t="s">
        <v>348</v>
      </c>
      <c r="C1104" s="114">
        <v>60</v>
      </c>
      <c r="D1104" s="115"/>
      <c r="E1104" s="116"/>
      <c r="F1104" s="115" t="s">
        <v>1335</v>
      </c>
      <c r="G1104" s="117">
        <v>0.904</v>
      </c>
      <c r="H1104" s="118"/>
      <c r="I1104" s="119"/>
      <c r="K1104" s="84"/>
    </row>
    <row r="1105" spans="1:11" s="16" customFormat="1" ht="10.5" customHeight="1">
      <c r="A1105" s="113" t="s">
        <v>1336</v>
      </c>
      <c r="B1105" s="103" t="s">
        <v>348</v>
      </c>
      <c r="C1105" s="114">
        <v>60</v>
      </c>
      <c r="D1105" s="115"/>
      <c r="E1105" s="116"/>
      <c r="F1105" s="115" t="s">
        <v>1337</v>
      </c>
      <c r="G1105" s="117">
        <v>0.193</v>
      </c>
      <c r="H1105" s="118"/>
      <c r="I1105" s="119"/>
      <c r="K1105" s="84"/>
    </row>
    <row r="1106" spans="1:11" s="16" customFormat="1" ht="10.5" customHeight="1">
      <c r="A1106" s="113" t="s">
        <v>1338</v>
      </c>
      <c r="B1106" s="103" t="s">
        <v>348</v>
      </c>
      <c r="C1106" s="114">
        <v>60</v>
      </c>
      <c r="D1106" s="115"/>
      <c r="E1106" s="116"/>
      <c r="F1106" s="115"/>
      <c r="G1106" s="117">
        <v>1.37</v>
      </c>
      <c r="H1106" s="118"/>
      <c r="I1106" s="119"/>
      <c r="K1106" s="84"/>
    </row>
    <row r="1107" spans="1:11" s="16" customFormat="1" ht="10.5" customHeight="1">
      <c r="A1107" s="113" t="s">
        <v>1339</v>
      </c>
      <c r="B1107" s="103" t="s">
        <v>348</v>
      </c>
      <c r="C1107" s="114">
        <v>63</v>
      </c>
      <c r="D1107" s="115"/>
      <c r="E1107" s="116"/>
      <c r="F1107" s="115"/>
      <c r="G1107" s="117">
        <f>0.63-0.095</f>
        <v>0.535</v>
      </c>
      <c r="H1107" s="118"/>
      <c r="I1107" s="119"/>
      <c r="K1107" s="84"/>
    </row>
    <row r="1108" spans="1:11" s="16" customFormat="1" ht="10.5" customHeight="1">
      <c r="A1108" s="113" t="s">
        <v>1340</v>
      </c>
      <c r="B1108" s="103" t="s">
        <v>348</v>
      </c>
      <c r="C1108" s="114">
        <v>64</v>
      </c>
      <c r="D1108" s="115"/>
      <c r="E1108" s="116"/>
      <c r="F1108" s="115"/>
      <c r="G1108" s="117">
        <v>2.925</v>
      </c>
      <c r="H1108" s="118"/>
      <c r="I1108" s="119"/>
      <c r="K1108" s="84"/>
    </row>
    <row r="1109" spans="1:11" s="16" customFormat="1" ht="10.5" customHeight="1">
      <c r="A1109" s="113" t="s">
        <v>1341</v>
      </c>
      <c r="B1109" s="103" t="s">
        <v>348</v>
      </c>
      <c r="C1109" s="114">
        <v>70</v>
      </c>
      <c r="D1109" s="115"/>
      <c r="E1109" s="116"/>
      <c r="F1109" s="115" t="s">
        <v>1342</v>
      </c>
      <c r="G1109" s="117">
        <f>0.928-0.074</f>
        <v>0.8540000000000001</v>
      </c>
      <c r="H1109" s="118"/>
      <c r="I1109" s="119"/>
      <c r="K1109" s="84"/>
    </row>
    <row r="1110" spans="1:11" s="16" customFormat="1" ht="10.5" customHeight="1">
      <c r="A1110" s="113" t="s">
        <v>1343</v>
      </c>
      <c r="B1110" s="103" t="s">
        <v>348</v>
      </c>
      <c r="C1110" s="114">
        <v>70</v>
      </c>
      <c r="D1110" s="115"/>
      <c r="E1110" s="116"/>
      <c r="F1110" s="115" t="s">
        <v>1344</v>
      </c>
      <c r="G1110" s="117">
        <v>0.719</v>
      </c>
      <c r="H1110" s="118"/>
      <c r="I1110" s="119"/>
      <c r="K1110" s="84"/>
    </row>
    <row r="1111" spans="1:11" s="16" customFormat="1" ht="10.5" customHeight="1">
      <c r="A1111" s="113" t="s">
        <v>1345</v>
      </c>
      <c r="B1111" s="103" t="s">
        <v>348</v>
      </c>
      <c r="C1111" s="114">
        <v>80</v>
      </c>
      <c r="D1111" s="115"/>
      <c r="E1111" s="116"/>
      <c r="F1111" s="115" t="s">
        <v>1346</v>
      </c>
      <c r="G1111" s="117">
        <v>4.391</v>
      </c>
      <c r="H1111" s="118"/>
      <c r="I1111" s="119"/>
      <c r="K1111" s="84"/>
    </row>
    <row r="1112" spans="1:11" s="16" customFormat="1" ht="10.5" customHeight="1">
      <c r="A1112" s="113" t="s">
        <v>1325</v>
      </c>
      <c r="B1112" s="103" t="s">
        <v>348</v>
      </c>
      <c r="C1112" s="114">
        <v>80</v>
      </c>
      <c r="D1112" s="115"/>
      <c r="E1112" s="116"/>
      <c r="F1112" s="115" t="s">
        <v>442</v>
      </c>
      <c r="G1112" s="117">
        <f>3.18-0.22</f>
        <v>2.96</v>
      </c>
      <c r="H1112" s="118"/>
      <c r="I1112" s="119"/>
      <c r="K1112" s="84"/>
    </row>
    <row r="1113" spans="1:11" s="16" customFormat="1" ht="10.5" customHeight="1">
      <c r="A1113" s="113" t="s">
        <v>1347</v>
      </c>
      <c r="B1113" s="103" t="s">
        <v>348</v>
      </c>
      <c r="C1113" s="114">
        <v>80</v>
      </c>
      <c r="D1113" s="115"/>
      <c r="E1113" s="116"/>
      <c r="F1113" s="115" t="s">
        <v>1348</v>
      </c>
      <c r="G1113" s="117">
        <v>0.35</v>
      </c>
      <c r="H1113" s="118"/>
      <c r="I1113" s="119"/>
      <c r="K1113" s="84"/>
    </row>
    <row r="1114" spans="1:11" s="16" customFormat="1" ht="10.5" customHeight="1">
      <c r="A1114" s="113" t="s">
        <v>1349</v>
      </c>
      <c r="B1114" s="103" t="s">
        <v>348</v>
      </c>
      <c r="C1114" s="114">
        <v>85</v>
      </c>
      <c r="D1114" s="115"/>
      <c r="E1114" s="116"/>
      <c r="F1114" s="115"/>
      <c r="G1114" s="117">
        <v>0.78</v>
      </c>
      <c r="H1114" s="118"/>
      <c r="I1114" s="119"/>
      <c r="K1114" s="84"/>
    </row>
    <row r="1115" spans="1:11" s="16" customFormat="1" ht="10.5" customHeight="1">
      <c r="A1115" s="113" t="s">
        <v>1350</v>
      </c>
      <c r="B1115" s="103" t="s">
        <v>348</v>
      </c>
      <c r="C1115" s="114">
        <v>90</v>
      </c>
      <c r="D1115" s="134"/>
      <c r="E1115" s="116">
        <f>0.604-0.116-0.214</f>
        <v>0.274</v>
      </c>
      <c r="F1115" s="134"/>
      <c r="G1115" s="117"/>
      <c r="H1115" s="118"/>
      <c r="I1115" s="119"/>
      <c r="K1115" s="84"/>
    </row>
    <row r="1116" spans="1:11" s="16" customFormat="1" ht="10.5" customHeight="1">
      <c r="A1116" s="113" t="s">
        <v>1351</v>
      </c>
      <c r="B1116" s="103" t="s">
        <v>348</v>
      </c>
      <c r="C1116" s="114">
        <v>90</v>
      </c>
      <c r="D1116" s="115"/>
      <c r="E1116" s="116"/>
      <c r="F1116" s="115" t="s">
        <v>1172</v>
      </c>
      <c r="G1116" s="117">
        <v>0.152</v>
      </c>
      <c r="H1116" s="118"/>
      <c r="I1116" s="119"/>
      <c r="K1116" s="84"/>
    </row>
    <row r="1117" spans="1:11" s="16" customFormat="1" ht="10.5" customHeight="1">
      <c r="A1117" s="113" t="s">
        <v>1350</v>
      </c>
      <c r="B1117" s="103" t="s">
        <v>348</v>
      </c>
      <c r="C1117" s="114">
        <v>95</v>
      </c>
      <c r="D1117" s="134"/>
      <c r="E1117" s="116">
        <v>0.546</v>
      </c>
      <c r="F1117" s="134"/>
      <c r="G1117" s="117"/>
      <c r="H1117" s="118"/>
      <c r="I1117" s="119"/>
      <c r="K1117" s="84"/>
    </row>
    <row r="1118" spans="1:11" s="16" customFormat="1" ht="10.5" customHeight="1">
      <c r="A1118" s="113" t="s">
        <v>1352</v>
      </c>
      <c r="B1118" s="103" t="s">
        <v>348</v>
      </c>
      <c r="C1118" s="114">
        <v>95</v>
      </c>
      <c r="D1118" s="134"/>
      <c r="E1118" s="116">
        <v>0.14</v>
      </c>
      <c r="F1118" s="134"/>
      <c r="G1118" s="117"/>
      <c r="H1118" s="118"/>
      <c r="I1118" s="119"/>
      <c r="K1118" s="84"/>
    </row>
    <row r="1119" spans="1:11" s="16" customFormat="1" ht="10.5" customHeight="1">
      <c r="A1119" s="113" t="s">
        <v>1345</v>
      </c>
      <c r="B1119" s="103" t="s">
        <v>348</v>
      </c>
      <c r="C1119" s="114">
        <v>100</v>
      </c>
      <c r="D1119" s="115"/>
      <c r="E1119" s="116"/>
      <c r="F1119" s="115" t="s">
        <v>1353</v>
      </c>
      <c r="G1119" s="117">
        <v>5.031</v>
      </c>
      <c r="H1119" s="118"/>
      <c r="I1119" s="119"/>
      <c r="K1119" s="84"/>
    </row>
    <row r="1120" spans="1:11" s="16" customFormat="1" ht="10.5" customHeight="1">
      <c r="A1120" s="113" t="s">
        <v>1323</v>
      </c>
      <c r="B1120" s="103" t="s">
        <v>348</v>
      </c>
      <c r="C1120" s="114">
        <v>100</v>
      </c>
      <c r="D1120" s="115"/>
      <c r="E1120" s="116"/>
      <c r="F1120" s="115" t="s">
        <v>1354</v>
      </c>
      <c r="G1120" s="117">
        <f>0.85-0.047</f>
        <v>0.8029999999999999</v>
      </c>
      <c r="H1120" s="118"/>
      <c r="I1120" s="119"/>
      <c r="K1120" s="84"/>
    </row>
    <row r="1121" spans="1:11" s="16" customFormat="1" ht="10.5" customHeight="1">
      <c r="A1121" s="113" t="s">
        <v>1355</v>
      </c>
      <c r="B1121" s="103" t="s">
        <v>348</v>
      </c>
      <c r="C1121" s="114">
        <v>115</v>
      </c>
      <c r="D1121" s="115"/>
      <c r="E1121" s="116"/>
      <c r="F1121" s="115"/>
      <c r="G1121" s="117">
        <f>0.91-0.42</f>
        <v>0.49000000000000005</v>
      </c>
      <c r="H1121" s="118"/>
      <c r="I1121" s="119"/>
      <c r="K1121" s="84"/>
    </row>
    <row r="1122" spans="1:11" s="16" customFormat="1" ht="10.5" customHeight="1">
      <c r="A1122" s="113" t="s">
        <v>1356</v>
      </c>
      <c r="B1122" s="103" t="s">
        <v>348</v>
      </c>
      <c r="C1122" s="114">
        <v>115</v>
      </c>
      <c r="D1122" s="115"/>
      <c r="E1122" s="116"/>
      <c r="F1122" s="115" t="s">
        <v>1357</v>
      </c>
      <c r="G1122" s="117">
        <v>0.344</v>
      </c>
      <c r="H1122" s="118"/>
      <c r="I1122" s="119"/>
      <c r="K1122" s="84"/>
    </row>
    <row r="1123" spans="1:11" s="16" customFormat="1" ht="10.5" customHeight="1">
      <c r="A1123" s="113" t="s">
        <v>1358</v>
      </c>
      <c r="B1123" s="103" t="s">
        <v>348</v>
      </c>
      <c r="C1123" s="114">
        <v>120</v>
      </c>
      <c r="D1123" s="134" t="s">
        <v>447</v>
      </c>
      <c r="E1123" s="116">
        <f>2.45-0.304-0.306-0.066-0.032</f>
        <v>1.7420000000000002</v>
      </c>
      <c r="F1123" s="134"/>
      <c r="G1123" s="117"/>
      <c r="H1123" s="118"/>
      <c r="I1123" s="119"/>
      <c r="K1123" s="84"/>
    </row>
    <row r="1124" spans="1:11" s="16" customFormat="1" ht="10.5" customHeight="1">
      <c r="A1124" s="113" t="s">
        <v>1359</v>
      </c>
      <c r="B1124" s="103" t="s">
        <v>348</v>
      </c>
      <c r="C1124" s="114">
        <v>120</v>
      </c>
      <c r="D1124" s="115"/>
      <c r="E1124" s="116"/>
      <c r="F1124" s="115" t="s">
        <v>394</v>
      </c>
      <c r="G1124" s="117">
        <v>0.855</v>
      </c>
      <c r="H1124" s="118"/>
      <c r="I1124" s="119"/>
      <c r="K1124" s="84"/>
    </row>
    <row r="1125" spans="1:11" s="16" customFormat="1" ht="10.5" customHeight="1">
      <c r="A1125" s="113" t="s">
        <v>1360</v>
      </c>
      <c r="B1125" s="103" t="s">
        <v>348</v>
      </c>
      <c r="C1125" s="114">
        <v>130</v>
      </c>
      <c r="D1125" s="115"/>
      <c r="E1125" s="116"/>
      <c r="F1125" s="115" t="s">
        <v>1361</v>
      </c>
      <c r="G1125" s="117">
        <v>3.325</v>
      </c>
      <c r="H1125" s="118"/>
      <c r="I1125" s="119"/>
      <c r="K1125" s="84"/>
    </row>
    <row r="1126" spans="1:11" s="16" customFormat="1" ht="10.5" customHeight="1">
      <c r="A1126" s="113" t="s">
        <v>1358</v>
      </c>
      <c r="B1126" s="103" t="s">
        <v>348</v>
      </c>
      <c r="C1126" s="114">
        <v>130</v>
      </c>
      <c r="D1126" s="115"/>
      <c r="E1126" s="116"/>
      <c r="F1126" s="115"/>
      <c r="G1126" s="117">
        <f>3.421-0.21-0.105</f>
        <v>3.106</v>
      </c>
      <c r="H1126" s="118"/>
      <c r="I1126" s="119"/>
      <c r="K1126" s="84"/>
    </row>
    <row r="1127" spans="1:11" s="16" customFormat="1" ht="10.5" customHeight="1">
      <c r="A1127" s="113" t="s">
        <v>1362</v>
      </c>
      <c r="B1127" s="103" t="s">
        <v>348</v>
      </c>
      <c r="C1127" s="114">
        <v>150</v>
      </c>
      <c r="D1127" s="115"/>
      <c r="E1127" s="116"/>
      <c r="F1127" s="115"/>
      <c r="G1127" s="117">
        <v>3.24</v>
      </c>
      <c r="H1127" s="118"/>
      <c r="I1127" s="119"/>
      <c r="K1127" s="84"/>
    </row>
    <row r="1128" spans="1:11" s="16" customFormat="1" ht="10.5" customHeight="1">
      <c r="A1128" s="113" t="s">
        <v>1339</v>
      </c>
      <c r="B1128" s="103" t="s">
        <v>348</v>
      </c>
      <c r="C1128" s="114">
        <v>190</v>
      </c>
      <c r="D1128" s="115" t="s">
        <v>453</v>
      </c>
      <c r="E1128" s="116">
        <v>0.508</v>
      </c>
      <c r="F1128" s="115"/>
      <c r="G1128" s="117"/>
      <c r="H1128" s="118"/>
      <c r="I1128" s="119"/>
      <c r="K1128" s="84"/>
    </row>
    <row r="1129" spans="1:11" s="16" customFormat="1" ht="10.5" customHeight="1">
      <c r="A1129" s="113" t="s">
        <v>1363</v>
      </c>
      <c r="B1129" s="103" t="s">
        <v>348</v>
      </c>
      <c r="C1129" s="114" t="s">
        <v>497</v>
      </c>
      <c r="D1129" s="115"/>
      <c r="E1129" s="116"/>
      <c r="F1129" s="115" t="s">
        <v>1364</v>
      </c>
      <c r="G1129" s="117">
        <v>0.89</v>
      </c>
      <c r="H1129" s="118"/>
      <c r="I1129" s="119"/>
      <c r="K1129" s="84"/>
    </row>
    <row r="1130" spans="1:11" s="16" customFormat="1" ht="10.5" customHeight="1">
      <c r="A1130" s="113" t="s">
        <v>1136</v>
      </c>
      <c r="B1130" s="103" t="s">
        <v>348</v>
      </c>
      <c r="C1130" s="114" t="s">
        <v>1365</v>
      </c>
      <c r="D1130" s="115"/>
      <c r="E1130" s="116"/>
      <c r="F1130" s="115" t="s">
        <v>1366</v>
      </c>
      <c r="G1130" s="117">
        <v>2.12</v>
      </c>
      <c r="H1130" s="118"/>
      <c r="I1130" s="119"/>
      <c r="K1130" s="84"/>
    </row>
    <row r="1131" spans="1:11" s="16" customFormat="1" ht="10.5" customHeight="1">
      <c r="A1131" s="113" t="s">
        <v>1296</v>
      </c>
      <c r="B1131" s="103" t="s">
        <v>348</v>
      </c>
      <c r="C1131" s="114" t="s">
        <v>1367</v>
      </c>
      <c r="D1131" s="115"/>
      <c r="E1131" s="116"/>
      <c r="F1131" s="115" t="s">
        <v>1368</v>
      </c>
      <c r="G1131" s="117">
        <v>1.31</v>
      </c>
      <c r="H1131" s="118"/>
      <c r="I1131" s="119"/>
      <c r="K1131" s="84"/>
    </row>
    <row r="1132" spans="1:11" s="16" customFormat="1" ht="10.5" customHeight="1">
      <c r="A1132" s="113" t="s">
        <v>1341</v>
      </c>
      <c r="B1132" s="103" t="s">
        <v>348</v>
      </c>
      <c r="C1132" s="114" t="s">
        <v>512</v>
      </c>
      <c r="D1132" s="115"/>
      <c r="E1132" s="116"/>
      <c r="F1132" s="115"/>
      <c r="G1132" s="117"/>
      <c r="H1132" s="118">
        <v>1.21</v>
      </c>
      <c r="I1132" s="119"/>
      <c r="K1132" s="84"/>
    </row>
    <row r="1133" spans="1:11" s="16" customFormat="1" ht="10.5" customHeight="1">
      <c r="A1133" s="113" t="s">
        <v>1136</v>
      </c>
      <c r="B1133" s="103" t="s">
        <v>990</v>
      </c>
      <c r="C1133" s="114">
        <v>140</v>
      </c>
      <c r="D1133" s="115"/>
      <c r="E1133" s="116"/>
      <c r="F1133" s="115" t="s">
        <v>1369</v>
      </c>
      <c r="G1133" s="117">
        <v>0.24</v>
      </c>
      <c r="H1133" s="118"/>
      <c r="I1133" s="119"/>
      <c r="K1133" s="84"/>
    </row>
    <row r="1134" spans="1:11" s="16" customFormat="1" ht="10.5" customHeight="1">
      <c r="A1134" s="113" t="s">
        <v>1171</v>
      </c>
      <c r="B1134" s="103" t="s">
        <v>990</v>
      </c>
      <c r="C1134" s="114">
        <v>140</v>
      </c>
      <c r="D1134" s="115"/>
      <c r="E1134" s="116"/>
      <c r="F1134" s="115" t="s">
        <v>1370</v>
      </c>
      <c r="G1134" s="117">
        <v>0.245</v>
      </c>
      <c r="H1134" s="118"/>
      <c r="I1134" s="119"/>
      <c r="K1134" s="84"/>
    </row>
    <row r="1135" spans="1:11" s="16" customFormat="1" ht="10.5" customHeight="1">
      <c r="A1135" s="113" t="s">
        <v>1306</v>
      </c>
      <c r="B1135" s="103" t="s">
        <v>1371</v>
      </c>
      <c r="C1135" s="114"/>
      <c r="D1135" s="115"/>
      <c r="E1135" s="116"/>
      <c r="F1135" s="115" t="s">
        <v>1372</v>
      </c>
      <c r="G1135" s="117">
        <v>0.755</v>
      </c>
      <c r="H1135" s="118"/>
      <c r="I1135" s="119"/>
      <c r="K1135" s="84"/>
    </row>
    <row r="1136" spans="1:11" s="16" customFormat="1" ht="10.5" customHeight="1">
      <c r="A1136" s="113" t="s">
        <v>1373</v>
      </c>
      <c r="B1136" s="103" t="s">
        <v>1374</v>
      </c>
      <c r="C1136" s="114"/>
      <c r="D1136" s="115"/>
      <c r="E1136" s="116"/>
      <c r="F1136" s="115" t="s">
        <v>1375</v>
      </c>
      <c r="G1136" s="117">
        <v>0.41</v>
      </c>
      <c r="H1136" s="118"/>
      <c r="I1136" s="119"/>
      <c r="K1136" s="84"/>
    </row>
    <row r="1137" spans="1:11" s="16" customFormat="1" ht="10.5" customHeight="1">
      <c r="A1137" s="113" t="s">
        <v>1376</v>
      </c>
      <c r="B1137" s="103" t="s">
        <v>370</v>
      </c>
      <c r="C1137" s="114" t="s">
        <v>691</v>
      </c>
      <c r="D1137" s="115"/>
      <c r="E1137" s="116"/>
      <c r="F1137" s="115" t="s">
        <v>1377</v>
      </c>
      <c r="G1137" s="117">
        <v>0.43</v>
      </c>
      <c r="H1137" s="118"/>
      <c r="I1137" s="119"/>
      <c r="K1137" s="84"/>
    </row>
    <row r="1138" spans="1:11" s="16" customFormat="1" ht="10.5" customHeight="1">
      <c r="A1138" s="113" t="s">
        <v>1378</v>
      </c>
      <c r="B1138" s="103" t="s">
        <v>370</v>
      </c>
      <c r="C1138" s="114" t="s">
        <v>1379</v>
      </c>
      <c r="D1138" s="115"/>
      <c r="E1138" s="116"/>
      <c r="F1138" s="115" t="s">
        <v>383</v>
      </c>
      <c r="G1138" s="117">
        <v>0.33</v>
      </c>
      <c r="H1138" s="118"/>
      <c r="I1138" s="119"/>
      <c r="K1138" s="84"/>
    </row>
    <row r="1139" spans="1:11" s="16" customFormat="1" ht="10.5" customHeight="1">
      <c r="A1139" s="113" t="s">
        <v>1380</v>
      </c>
      <c r="B1139" s="103" t="s">
        <v>370</v>
      </c>
      <c r="C1139" s="114" t="s">
        <v>439</v>
      </c>
      <c r="D1139" s="115"/>
      <c r="E1139" s="116"/>
      <c r="F1139" s="115" t="s">
        <v>1381</v>
      </c>
      <c r="G1139" s="117">
        <v>0.846</v>
      </c>
      <c r="H1139" s="118"/>
      <c r="I1139" s="119"/>
      <c r="K1139" s="84"/>
    </row>
    <row r="1140" spans="1:11" s="16" customFormat="1" ht="10.5" customHeight="1">
      <c r="A1140" s="113" t="s">
        <v>1382</v>
      </c>
      <c r="B1140" s="103" t="s">
        <v>370</v>
      </c>
      <c r="C1140" s="114" t="s">
        <v>1383</v>
      </c>
      <c r="D1140" s="115"/>
      <c r="E1140" s="116"/>
      <c r="F1140" s="115" t="s">
        <v>1227</v>
      </c>
      <c r="G1140" s="117">
        <v>0.538</v>
      </c>
      <c r="H1140" s="118"/>
      <c r="I1140" s="119"/>
      <c r="K1140" s="84"/>
    </row>
    <row r="1141" spans="1:11" s="16" customFormat="1" ht="10.5" customHeight="1">
      <c r="A1141" s="113" t="s">
        <v>1384</v>
      </c>
      <c r="B1141" s="103" t="s">
        <v>370</v>
      </c>
      <c r="C1141" s="114" t="s">
        <v>1385</v>
      </c>
      <c r="D1141" s="115"/>
      <c r="E1141" s="116"/>
      <c r="F1141" s="115" t="s">
        <v>1386</v>
      </c>
      <c r="G1141" s="117">
        <v>1.82</v>
      </c>
      <c r="H1141" s="118"/>
      <c r="I1141" s="119"/>
      <c r="K1141" s="84"/>
    </row>
    <row r="1142" spans="1:11" s="16" customFormat="1" ht="10.5" customHeight="1">
      <c r="A1142" s="113" t="s">
        <v>1387</v>
      </c>
      <c r="B1142" s="103" t="s">
        <v>399</v>
      </c>
      <c r="C1142" s="114" t="s">
        <v>1388</v>
      </c>
      <c r="D1142" s="115"/>
      <c r="E1142" s="116"/>
      <c r="F1142" s="115" t="s">
        <v>1389</v>
      </c>
      <c r="G1142" s="117">
        <v>0.84</v>
      </c>
      <c r="H1142" s="118"/>
      <c r="I1142" s="119"/>
      <c r="K1142" s="84"/>
    </row>
    <row r="1143" spans="1:11" s="16" customFormat="1" ht="10.5" customHeight="1">
      <c r="A1143" s="113" t="s">
        <v>1390</v>
      </c>
      <c r="B1143" s="103" t="s">
        <v>348</v>
      </c>
      <c r="C1143" s="114" t="s">
        <v>391</v>
      </c>
      <c r="D1143" s="115"/>
      <c r="E1143" s="116"/>
      <c r="F1143" s="115" t="s">
        <v>1391</v>
      </c>
      <c r="G1143" s="117">
        <f>1.84-1.405</f>
        <v>0.43500000000000005</v>
      </c>
      <c r="H1143" s="118"/>
      <c r="I1143" s="119"/>
      <c r="K1143" s="84"/>
    </row>
    <row r="1144" spans="1:11" s="16" customFormat="1" ht="10.5" customHeight="1">
      <c r="A1144" s="113" t="s">
        <v>1392</v>
      </c>
      <c r="B1144" s="103" t="s">
        <v>1393</v>
      </c>
      <c r="C1144" s="114">
        <v>1.5</v>
      </c>
      <c r="D1144" s="115"/>
      <c r="E1144" s="116">
        <v>0.03</v>
      </c>
      <c r="F1144" s="115"/>
      <c r="G1144" s="117"/>
      <c r="H1144" s="118"/>
      <c r="I1144" s="119"/>
      <c r="K1144" s="84"/>
    </row>
    <row r="1145" spans="1:11" s="16" customFormat="1" ht="10.5" customHeight="1">
      <c r="A1145" s="113" t="s">
        <v>1394</v>
      </c>
      <c r="B1145" s="103" t="s">
        <v>1393</v>
      </c>
      <c r="C1145" s="114">
        <v>2.5</v>
      </c>
      <c r="D1145" s="115"/>
      <c r="E1145" s="116">
        <v>0.031</v>
      </c>
      <c r="F1145" s="115"/>
      <c r="G1145" s="117"/>
      <c r="H1145" s="118"/>
      <c r="I1145" s="119"/>
      <c r="K1145" s="84"/>
    </row>
    <row r="1146" spans="1:11" s="16" customFormat="1" ht="13.5" customHeight="1">
      <c r="A1146" s="128"/>
      <c r="B1146" s="109"/>
      <c r="C1146" s="129" t="s">
        <v>1395</v>
      </c>
      <c r="D1146" s="109"/>
      <c r="E1146" s="106"/>
      <c r="F1146" s="109"/>
      <c r="G1146" s="112"/>
      <c r="H1146" s="107"/>
      <c r="I1146" s="108"/>
      <c r="K1146" s="84"/>
    </row>
    <row r="1147" spans="1:11" s="16" customFormat="1" ht="10.5" customHeight="1">
      <c r="A1147" s="113" t="s">
        <v>1113</v>
      </c>
      <c r="B1147" s="103" t="s">
        <v>1396</v>
      </c>
      <c r="C1147" s="114">
        <v>10</v>
      </c>
      <c r="D1147" s="115"/>
      <c r="E1147" s="116"/>
      <c r="F1147" s="115" t="s">
        <v>1397</v>
      </c>
      <c r="G1147" s="117">
        <f>0.51-0.35</f>
        <v>0.16000000000000003</v>
      </c>
      <c r="H1147" s="118"/>
      <c r="I1147" s="119"/>
      <c r="K1147" s="84"/>
    </row>
    <row r="1148" spans="1:11" s="16" customFormat="1" ht="10.5" customHeight="1">
      <c r="A1148" s="113" t="s">
        <v>1113</v>
      </c>
      <c r="B1148" s="103" t="s">
        <v>1396</v>
      </c>
      <c r="C1148" s="114">
        <v>10</v>
      </c>
      <c r="D1148" s="115"/>
      <c r="E1148" s="116"/>
      <c r="F1148" s="115" t="s">
        <v>1398</v>
      </c>
      <c r="G1148" s="117">
        <v>0.695</v>
      </c>
      <c r="H1148" s="118"/>
      <c r="I1148" s="119"/>
      <c r="K1148" s="84"/>
    </row>
    <row r="1149" spans="1:11" s="16" customFormat="1" ht="10.5" customHeight="1">
      <c r="A1149" s="113" t="s">
        <v>1113</v>
      </c>
      <c r="B1149" s="103" t="s">
        <v>1396</v>
      </c>
      <c r="C1149" s="114">
        <v>10</v>
      </c>
      <c r="D1149" s="115"/>
      <c r="E1149" s="116"/>
      <c r="F1149" s="115" t="s">
        <v>1399</v>
      </c>
      <c r="G1149" s="117">
        <f>5.04-2.26-1.3</f>
        <v>1.4800000000000002</v>
      </c>
      <c r="H1149" s="118"/>
      <c r="I1149" s="119"/>
      <c r="K1149" s="84"/>
    </row>
    <row r="1150" spans="1:11" s="16" customFormat="1" ht="10.5" customHeight="1">
      <c r="A1150" s="113" t="s">
        <v>1400</v>
      </c>
      <c r="B1150" s="103" t="s">
        <v>1396</v>
      </c>
      <c r="C1150" s="135">
        <v>1</v>
      </c>
      <c r="D1150" s="115"/>
      <c r="E1150" s="116"/>
      <c r="F1150" s="115" t="s">
        <v>1401</v>
      </c>
      <c r="G1150" s="117">
        <v>6.654</v>
      </c>
      <c r="H1150" s="118"/>
      <c r="I1150" s="119"/>
      <c r="K1150" s="84"/>
    </row>
    <row r="1151" spans="1:11" s="16" customFormat="1" ht="13.5" customHeight="1">
      <c r="A1151" s="128"/>
      <c r="B1151" s="109"/>
      <c r="C1151" s="129" t="s">
        <v>1402</v>
      </c>
      <c r="D1151" s="109"/>
      <c r="E1151" s="106"/>
      <c r="F1151" s="109"/>
      <c r="G1151" s="112"/>
      <c r="H1151" s="107"/>
      <c r="I1151" s="108"/>
      <c r="K1151" s="84"/>
    </row>
    <row r="1152" spans="1:11" s="16" customFormat="1" ht="10.5" customHeight="1">
      <c r="A1152" s="113" t="s">
        <v>1403</v>
      </c>
      <c r="B1152" s="103" t="s">
        <v>1404</v>
      </c>
      <c r="C1152" s="114" t="s">
        <v>1405</v>
      </c>
      <c r="D1152" s="115"/>
      <c r="E1152" s="116"/>
      <c r="F1152" s="115" t="s">
        <v>1406</v>
      </c>
      <c r="G1152" s="117">
        <v>3.305</v>
      </c>
      <c r="H1152" s="118"/>
      <c r="I1152" s="119"/>
      <c r="K1152" s="84"/>
    </row>
    <row r="1153" spans="1:11" s="16" customFormat="1" ht="10.5" customHeight="1">
      <c r="A1153" s="113" t="s">
        <v>1403</v>
      </c>
      <c r="B1153" s="103" t="s">
        <v>1404</v>
      </c>
      <c r="C1153" s="114" t="s">
        <v>1407</v>
      </c>
      <c r="D1153" s="115"/>
      <c r="E1153" s="116"/>
      <c r="F1153" s="115" t="s">
        <v>900</v>
      </c>
      <c r="G1153" s="117">
        <v>0.108</v>
      </c>
      <c r="H1153" s="118"/>
      <c r="I1153" s="119"/>
      <c r="K1153" s="84"/>
    </row>
    <row r="1154" spans="1:11" s="16" customFormat="1" ht="13.5" customHeight="1">
      <c r="A1154" s="128"/>
      <c r="B1154" s="109"/>
      <c r="C1154" s="129" t="s">
        <v>1408</v>
      </c>
      <c r="D1154" s="109"/>
      <c r="E1154" s="106"/>
      <c r="F1154" s="109"/>
      <c r="G1154" s="112"/>
      <c r="H1154" s="107"/>
      <c r="I1154" s="108"/>
      <c r="K1154" s="84"/>
    </row>
    <row r="1155" spans="1:11" s="16" customFormat="1" ht="10.5" customHeight="1">
      <c r="A1155" s="113" t="s">
        <v>1136</v>
      </c>
      <c r="B1155" s="103" t="s">
        <v>561</v>
      </c>
      <c r="C1155" s="114" t="s">
        <v>1409</v>
      </c>
      <c r="D1155" s="115"/>
      <c r="E1155" s="116"/>
      <c r="F1155" s="115" t="s">
        <v>1410</v>
      </c>
      <c r="G1155" s="117">
        <v>0.145</v>
      </c>
      <c r="H1155" s="118"/>
      <c r="I1155" s="119"/>
      <c r="K1155" s="84"/>
    </row>
    <row r="1156" spans="1:11" s="16" customFormat="1" ht="10.5" customHeight="1">
      <c r="A1156" s="113" t="s">
        <v>1411</v>
      </c>
      <c r="B1156" s="103" t="s">
        <v>561</v>
      </c>
      <c r="C1156" s="114" t="s">
        <v>1412</v>
      </c>
      <c r="D1156" s="115"/>
      <c r="E1156" s="116"/>
      <c r="F1156" s="115" t="s">
        <v>1413</v>
      </c>
      <c r="G1156" s="117">
        <v>1.01</v>
      </c>
      <c r="H1156" s="118"/>
      <c r="I1156" s="119"/>
      <c r="K1156" s="84"/>
    </row>
    <row r="1157" spans="1:11" s="16" customFormat="1" ht="10.5" customHeight="1">
      <c r="A1157" s="113" t="s">
        <v>1411</v>
      </c>
      <c r="B1157" s="103" t="s">
        <v>561</v>
      </c>
      <c r="C1157" s="114" t="s">
        <v>1414</v>
      </c>
      <c r="D1157" s="115"/>
      <c r="E1157" s="116"/>
      <c r="F1157" s="115" t="s">
        <v>1413</v>
      </c>
      <c r="G1157" s="117">
        <v>1.03</v>
      </c>
      <c r="H1157" s="118"/>
      <c r="I1157" s="119"/>
      <c r="K1157" s="84"/>
    </row>
    <row r="1158" spans="1:11" s="16" customFormat="1" ht="10.5" customHeight="1">
      <c r="A1158" s="113" t="s">
        <v>1306</v>
      </c>
      <c r="B1158" s="103" t="s">
        <v>561</v>
      </c>
      <c r="C1158" s="114" t="s">
        <v>1415</v>
      </c>
      <c r="D1158" s="115"/>
      <c r="E1158" s="116"/>
      <c r="F1158" s="115" t="s">
        <v>1416</v>
      </c>
      <c r="G1158" s="117">
        <v>0.74</v>
      </c>
      <c r="H1158" s="118"/>
      <c r="I1158" s="119"/>
      <c r="K1158" s="84"/>
    </row>
    <row r="1159" spans="1:11" s="16" customFormat="1" ht="10.5" customHeight="1">
      <c r="A1159" s="113" t="s">
        <v>1306</v>
      </c>
      <c r="B1159" s="103" t="s">
        <v>561</v>
      </c>
      <c r="C1159" s="114" t="s">
        <v>1417</v>
      </c>
      <c r="D1159" s="115"/>
      <c r="E1159" s="116"/>
      <c r="F1159" s="115" t="s">
        <v>1418</v>
      </c>
      <c r="G1159" s="117">
        <v>0.6</v>
      </c>
      <c r="H1159" s="118"/>
      <c r="I1159" s="119"/>
      <c r="K1159" s="84"/>
    </row>
    <row r="1160" spans="1:11" s="16" customFormat="1" ht="10.5" customHeight="1">
      <c r="A1160" s="113" t="s">
        <v>1306</v>
      </c>
      <c r="B1160" s="103" t="s">
        <v>561</v>
      </c>
      <c r="C1160" s="114" t="s">
        <v>1419</v>
      </c>
      <c r="D1160" s="115"/>
      <c r="E1160" s="116"/>
      <c r="F1160" s="115" t="s">
        <v>1420</v>
      </c>
      <c r="G1160" s="117">
        <v>4.1</v>
      </c>
      <c r="H1160" s="118"/>
      <c r="I1160" s="119"/>
      <c r="K1160" s="84"/>
    </row>
    <row r="1161" spans="1:11" s="16" customFormat="1" ht="10.5" customHeight="1">
      <c r="A1161" s="113" t="s">
        <v>1306</v>
      </c>
      <c r="B1161" s="103" t="s">
        <v>561</v>
      </c>
      <c r="C1161" s="114" t="s">
        <v>1421</v>
      </c>
      <c r="D1161" s="115"/>
      <c r="E1161" s="116"/>
      <c r="F1161" s="115" t="s">
        <v>1422</v>
      </c>
      <c r="G1161" s="117">
        <v>3.95</v>
      </c>
      <c r="H1161" s="118"/>
      <c r="I1161" s="119"/>
      <c r="K1161" s="84"/>
    </row>
    <row r="1162" spans="1:11" s="16" customFormat="1" ht="10.5" customHeight="1">
      <c r="A1162" s="113" t="s">
        <v>1306</v>
      </c>
      <c r="B1162" s="103" t="s">
        <v>561</v>
      </c>
      <c r="C1162" s="114" t="s">
        <v>1423</v>
      </c>
      <c r="D1162" s="115"/>
      <c r="E1162" s="116"/>
      <c r="F1162" s="115" t="s">
        <v>1424</v>
      </c>
      <c r="G1162" s="117">
        <v>0.152</v>
      </c>
      <c r="H1162" s="118"/>
      <c r="I1162" s="119"/>
      <c r="K1162" s="84"/>
    </row>
    <row r="1163" spans="1:11" s="16" customFormat="1" ht="10.5" customHeight="1">
      <c r="A1163" s="113" t="s">
        <v>1306</v>
      </c>
      <c r="B1163" s="103" t="s">
        <v>561</v>
      </c>
      <c r="C1163" s="114" t="s">
        <v>1425</v>
      </c>
      <c r="D1163" s="115"/>
      <c r="E1163" s="116"/>
      <c r="F1163" s="115" t="s">
        <v>1416</v>
      </c>
      <c r="G1163" s="117">
        <v>0.725</v>
      </c>
      <c r="H1163" s="118"/>
      <c r="I1163" s="119"/>
      <c r="K1163" s="84"/>
    </row>
    <row r="1164" spans="1:11" s="16" customFormat="1" ht="10.5" customHeight="1">
      <c r="A1164" s="113" t="s">
        <v>1189</v>
      </c>
      <c r="B1164" s="103" t="s">
        <v>561</v>
      </c>
      <c r="C1164" s="114" t="s">
        <v>1426</v>
      </c>
      <c r="D1164" s="115"/>
      <c r="E1164" s="116"/>
      <c r="F1164" s="115" t="s">
        <v>1427</v>
      </c>
      <c r="G1164" s="117">
        <v>0.52</v>
      </c>
      <c r="H1164" s="118"/>
      <c r="I1164" s="119"/>
      <c r="K1164" s="84"/>
    </row>
    <row r="1165" spans="1:11" s="16" customFormat="1" ht="10.5" customHeight="1">
      <c r="A1165" s="113" t="s">
        <v>1189</v>
      </c>
      <c r="B1165" s="103" t="s">
        <v>561</v>
      </c>
      <c r="C1165" s="114" t="s">
        <v>1428</v>
      </c>
      <c r="D1165" s="115"/>
      <c r="E1165" s="116"/>
      <c r="F1165" s="115" t="s">
        <v>1413</v>
      </c>
      <c r="G1165" s="117">
        <v>0.578</v>
      </c>
      <c r="H1165" s="118"/>
      <c r="I1165" s="119"/>
      <c r="K1165" s="84"/>
    </row>
    <row r="1166" spans="1:11" s="16" customFormat="1" ht="10.5" customHeight="1">
      <c r="A1166" s="113" t="s">
        <v>1189</v>
      </c>
      <c r="B1166" s="103" t="s">
        <v>561</v>
      </c>
      <c r="C1166" s="114" t="s">
        <v>1429</v>
      </c>
      <c r="D1166" s="115"/>
      <c r="E1166" s="116"/>
      <c r="F1166" s="115" t="s">
        <v>1418</v>
      </c>
      <c r="G1166" s="117">
        <v>0.95</v>
      </c>
      <c r="H1166" s="118"/>
      <c r="I1166" s="119"/>
      <c r="K1166" s="84"/>
    </row>
    <row r="1167" spans="1:11" s="16" customFormat="1" ht="10.5" customHeight="1">
      <c r="A1167" s="113" t="s">
        <v>1189</v>
      </c>
      <c r="B1167" s="103" t="s">
        <v>561</v>
      </c>
      <c r="C1167" s="114" t="s">
        <v>1430</v>
      </c>
      <c r="D1167" s="115"/>
      <c r="E1167" s="116"/>
      <c r="F1167" s="115" t="s">
        <v>1413</v>
      </c>
      <c r="G1167" s="117">
        <v>0.31</v>
      </c>
      <c r="H1167" s="118"/>
      <c r="I1167" s="119"/>
      <c r="K1167" s="84"/>
    </row>
    <row r="1168" spans="1:11" s="16" customFormat="1" ht="10.5" customHeight="1">
      <c r="A1168" s="113" t="s">
        <v>1189</v>
      </c>
      <c r="B1168" s="103" t="s">
        <v>561</v>
      </c>
      <c r="C1168" s="114" t="s">
        <v>1431</v>
      </c>
      <c r="D1168" s="115"/>
      <c r="E1168" s="116"/>
      <c r="F1168" s="115" t="s">
        <v>1427</v>
      </c>
      <c r="G1168" s="117">
        <v>0.37</v>
      </c>
      <c r="H1168" s="118"/>
      <c r="I1168" s="119"/>
      <c r="K1168" s="84"/>
    </row>
    <row r="1169" spans="1:11" s="16" customFormat="1" ht="10.5" customHeight="1">
      <c r="A1169" s="113" t="s">
        <v>1189</v>
      </c>
      <c r="B1169" s="103" t="s">
        <v>561</v>
      </c>
      <c r="C1169" s="114" t="s">
        <v>1432</v>
      </c>
      <c r="D1169" s="115"/>
      <c r="E1169" s="116"/>
      <c r="F1169" s="115" t="s">
        <v>1433</v>
      </c>
      <c r="G1169" s="117">
        <v>0.6</v>
      </c>
      <c r="H1169" s="118"/>
      <c r="I1169" s="119"/>
      <c r="K1169" s="84"/>
    </row>
    <row r="1170" spans="1:11" s="16" customFormat="1" ht="10.5" customHeight="1">
      <c r="A1170" s="113" t="s">
        <v>1434</v>
      </c>
      <c r="B1170" s="103" t="s">
        <v>561</v>
      </c>
      <c r="C1170" s="114" t="s">
        <v>1435</v>
      </c>
      <c r="D1170" s="115"/>
      <c r="E1170" s="116"/>
      <c r="F1170" s="115" t="s">
        <v>1416</v>
      </c>
      <c r="G1170" s="117">
        <v>0.25</v>
      </c>
      <c r="H1170" s="118"/>
      <c r="I1170" s="119"/>
      <c r="K1170" s="84"/>
    </row>
    <row r="1171" spans="1:11" s="16" customFormat="1" ht="10.5" customHeight="1">
      <c r="A1171" s="113" t="s">
        <v>1434</v>
      </c>
      <c r="B1171" s="103" t="s">
        <v>561</v>
      </c>
      <c r="C1171" s="114" t="s">
        <v>1436</v>
      </c>
      <c r="D1171" s="115"/>
      <c r="E1171" s="116"/>
      <c r="F1171" s="115" t="s">
        <v>1437</v>
      </c>
      <c r="G1171" s="117">
        <v>0.24</v>
      </c>
      <c r="H1171" s="118"/>
      <c r="I1171" s="119"/>
      <c r="K1171" s="84"/>
    </row>
    <row r="1172" spans="1:11" s="16" customFormat="1" ht="10.5" customHeight="1">
      <c r="A1172" s="113" t="s">
        <v>1438</v>
      </c>
      <c r="B1172" s="103" t="s">
        <v>561</v>
      </c>
      <c r="C1172" s="114" t="s">
        <v>1439</v>
      </c>
      <c r="D1172" s="115"/>
      <c r="E1172" s="116"/>
      <c r="F1172" s="115" t="s">
        <v>1440</v>
      </c>
      <c r="G1172" s="117"/>
      <c r="H1172" s="118"/>
      <c r="I1172" s="119"/>
      <c r="K1172" s="84"/>
    </row>
    <row r="1173" spans="1:11" s="16" customFormat="1" ht="10.5" customHeight="1">
      <c r="A1173" s="113" t="s">
        <v>1438</v>
      </c>
      <c r="B1173" s="103" t="s">
        <v>561</v>
      </c>
      <c r="C1173" s="114" t="s">
        <v>1441</v>
      </c>
      <c r="D1173" s="115"/>
      <c r="E1173" s="116"/>
      <c r="F1173" s="115" t="s">
        <v>1440</v>
      </c>
      <c r="G1173" s="117"/>
      <c r="H1173" s="118"/>
      <c r="I1173" s="119"/>
      <c r="K1173" s="84"/>
    </row>
    <row r="1174" spans="1:11" s="16" customFormat="1" ht="10.5" customHeight="1">
      <c r="A1174" s="113" t="s">
        <v>1438</v>
      </c>
      <c r="B1174" s="103" t="s">
        <v>561</v>
      </c>
      <c r="C1174" s="114" t="s">
        <v>1442</v>
      </c>
      <c r="D1174" s="115"/>
      <c r="E1174" s="116"/>
      <c r="F1174" s="115" t="s">
        <v>1440</v>
      </c>
      <c r="G1174" s="117"/>
      <c r="H1174" s="118"/>
      <c r="I1174" s="119"/>
      <c r="K1174" s="84"/>
    </row>
    <row r="1175" spans="1:11" s="16" customFormat="1" ht="10.5" customHeight="1">
      <c r="A1175" s="113" t="s">
        <v>1438</v>
      </c>
      <c r="B1175" s="103" t="s">
        <v>561</v>
      </c>
      <c r="C1175" s="114" t="s">
        <v>1443</v>
      </c>
      <c r="D1175" s="115"/>
      <c r="E1175" s="116"/>
      <c r="F1175" s="115" t="s">
        <v>1418</v>
      </c>
      <c r="G1175" s="117"/>
      <c r="H1175" s="118"/>
      <c r="I1175" s="119"/>
      <c r="K1175" s="84"/>
    </row>
    <row r="1176" spans="1:11" s="16" customFormat="1" ht="10.5" customHeight="1">
      <c r="A1176" s="113" t="s">
        <v>1438</v>
      </c>
      <c r="B1176" s="103" t="s">
        <v>561</v>
      </c>
      <c r="C1176" s="114" t="s">
        <v>1444</v>
      </c>
      <c r="D1176" s="115"/>
      <c r="E1176" s="116"/>
      <c r="F1176" s="115" t="s">
        <v>1418</v>
      </c>
      <c r="G1176" s="117"/>
      <c r="H1176" s="118"/>
      <c r="I1176" s="119"/>
      <c r="K1176" s="84"/>
    </row>
    <row r="1177" spans="1:11" s="16" customFormat="1" ht="10.5" customHeight="1">
      <c r="A1177" s="113" t="s">
        <v>1438</v>
      </c>
      <c r="B1177" s="103" t="s">
        <v>561</v>
      </c>
      <c r="C1177" s="114" t="s">
        <v>1445</v>
      </c>
      <c r="D1177" s="115"/>
      <c r="E1177" s="116"/>
      <c r="F1177" s="115" t="s">
        <v>1418</v>
      </c>
      <c r="G1177" s="117"/>
      <c r="H1177" s="118"/>
      <c r="I1177" s="119"/>
      <c r="K1177" s="84"/>
    </row>
    <row r="1178" spans="1:11" s="16" customFormat="1" ht="10.5" customHeight="1">
      <c r="A1178" s="113" t="s">
        <v>1446</v>
      </c>
      <c r="B1178" s="103" t="s">
        <v>561</v>
      </c>
      <c r="C1178" s="114" t="s">
        <v>1447</v>
      </c>
      <c r="D1178" s="115"/>
      <c r="E1178" s="116"/>
      <c r="F1178" s="115" t="s">
        <v>1448</v>
      </c>
      <c r="G1178" s="117">
        <v>0.268</v>
      </c>
      <c r="H1178" s="118"/>
      <c r="I1178" s="119"/>
      <c r="K1178" s="84"/>
    </row>
    <row r="1179" spans="1:11" s="16" customFormat="1" ht="10.5" customHeight="1">
      <c r="A1179" s="113" t="s">
        <v>1037</v>
      </c>
      <c r="B1179" s="103" t="s">
        <v>561</v>
      </c>
      <c r="C1179" s="114" t="s">
        <v>1449</v>
      </c>
      <c r="D1179" s="115"/>
      <c r="E1179" s="116"/>
      <c r="F1179" s="115" t="s">
        <v>1413</v>
      </c>
      <c r="G1179" s="117">
        <v>0.594</v>
      </c>
      <c r="H1179" s="118"/>
      <c r="I1179" s="119"/>
      <c r="K1179" s="84"/>
    </row>
    <row r="1180" spans="1:11" s="16" customFormat="1" ht="10.5" customHeight="1">
      <c r="A1180" s="113" t="s">
        <v>1037</v>
      </c>
      <c r="B1180" s="103" t="s">
        <v>561</v>
      </c>
      <c r="C1180" s="114" t="s">
        <v>1450</v>
      </c>
      <c r="D1180" s="115"/>
      <c r="E1180" s="116"/>
      <c r="F1180" s="115" t="s">
        <v>1413</v>
      </c>
      <c r="G1180" s="117">
        <v>0.66</v>
      </c>
      <c r="H1180" s="118"/>
      <c r="I1180" s="119"/>
      <c r="K1180" s="84"/>
    </row>
    <row r="1181" spans="1:11" s="16" customFormat="1" ht="10.5" customHeight="1">
      <c r="A1181" s="113" t="s">
        <v>1451</v>
      </c>
      <c r="B1181" s="103" t="s">
        <v>399</v>
      </c>
      <c r="C1181" s="114" t="s">
        <v>1452</v>
      </c>
      <c r="D1181" s="115"/>
      <c r="E1181" s="116"/>
      <c r="F1181" s="115" t="s">
        <v>1453</v>
      </c>
      <c r="G1181" s="117">
        <v>2.8</v>
      </c>
      <c r="H1181" s="118"/>
      <c r="I1181" s="119"/>
      <c r="K1181" s="84"/>
    </row>
    <row r="1182" spans="1:11" s="16" customFormat="1" ht="10.5" customHeight="1">
      <c r="A1182" s="113" t="s">
        <v>1306</v>
      </c>
      <c r="B1182" s="103" t="s">
        <v>561</v>
      </c>
      <c r="C1182" s="114" t="s">
        <v>1454</v>
      </c>
      <c r="D1182" s="115"/>
      <c r="E1182" s="116"/>
      <c r="F1182" s="115"/>
      <c r="G1182" s="117">
        <v>5.16</v>
      </c>
      <c r="H1182" s="118"/>
      <c r="I1182" s="119"/>
      <c r="K1182" s="84"/>
    </row>
    <row r="1183" spans="1:11" s="16" customFormat="1" ht="10.5" customHeight="1">
      <c r="A1183" s="113" t="s">
        <v>1275</v>
      </c>
      <c r="B1183" s="103" t="s">
        <v>561</v>
      </c>
      <c r="C1183" s="114" t="s">
        <v>1455</v>
      </c>
      <c r="D1183" s="115"/>
      <c r="E1183" s="116"/>
      <c r="F1183" s="115" t="s">
        <v>1456</v>
      </c>
      <c r="G1183" s="117">
        <v>0.54</v>
      </c>
      <c r="H1183" s="118"/>
      <c r="I1183" s="119"/>
      <c r="K1183" s="84"/>
    </row>
    <row r="1184" spans="1:11" s="16" customFormat="1" ht="13.5" customHeight="1">
      <c r="A1184" s="128"/>
      <c r="B1184" s="109"/>
      <c r="C1184" s="129" t="s">
        <v>1457</v>
      </c>
      <c r="D1184" s="109"/>
      <c r="E1184" s="106"/>
      <c r="F1184" s="109"/>
      <c r="G1184" s="112"/>
      <c r="H1184" s="107"/>
      <c r="I1184" s="108"/>
      <c r="K1184" s="84"/>
    </row>
    <row r="1185" spans="1:11" s="16" customFormat="1" ht="10.5" customHeight="1">
      <c r="A1185" s="113" t="s">
        <v>1306</v>
      </c>
      <c r="B1185" s="103" t="s">
        <v>1458</v>
      </c>
      <c r="C1185" s="114" t="s">
        <v>1459</v>
      </c>
      <c r="D1185" s="115"/>
      <c r="E1185" s="116"/>
      <c r="F1185" s="115" t="s">
        <v>519</v>
      </c>
      <c r="G1185" s="117"/>
      <c r="H1185" s="118"/>
      <c r="I1185" s="119"/>
      <c r="K1185" s="84"/>
    </row>
    <row r="1186" spans="1:11" s="16" customFormat="1" ht="10.5" customHeight="1">
      <c r="A1186" s="113" t="s">
        <v>1306</v>
      </c>
      <c r="B1186" s="103" t="s">
        <v>1458</v>
      </c>
      <c r="C1186" s="114" t="s">
        <v>1460</v>
      </c>
      <c r="D1186" s="115"/>
      <c r="E1186" s="116"/>
      <c r="F1186" s="115" t="s">
        <v>1031</v>
      </c>
      <c r="G1186" s="117"/>
      <c r="H1186" s="118"/>
      <c r="I1186" s="119"/>
      <c r="K1186" s="84"/>
    </row>
    <row r="1187" spans="1:11" s="16" customFormat="1" ht="10.5" customHeight="1">
      <c r="A1187" s="113" t="s">
        <v>1306</v>
      </c>
      <c r="B1187" s="103" t="s">
        <v>1458</v>
      </c>
      <c r="C1187" s="114" t="s">
        <v>1461</v>
      </c>
      <c r="D1187" s="115"/>
      <c r="E1187" s="116"/>
      <c r="F1187" s="115" t="s">
        <v>519</v>
      </c>
      <c r="G1187" s="117"/>
      <c r="H1187" s="118"/>
      <c r="I1187" s="119"/>
      <c r="K1187" s="84"/>
    </row>
    <row r="1188" spans="1:11" s="16" customFormat="1" ht="10.5" customHeight="1">
      <c r="A1188" s="113" t="s">
        <v>1306</v>
      </c>
      <c r="B1188" s="103" t="s">
        <v>1458</v>
      </c>
      <c r="C1188" s="114" t="s">
        <v>1462</v>
      </c>
      <c r="D1188" s="115"/>
      <c r="E1188" s="116"/>
      <c r="F1188" s="115" t="s">
        <v>1463</v>
      </c>
      <c r="G1188" s="117"/>
      <c r="H1188" s="118"/>
      <c r="I1188" s="119"/>
      <c r="K1188" s="84"/>
    </row>
    <row r="1189" spans="1:11" s="16" customFormat="1" ht="10.5" customHeight="1">
      <c r="A1189" s="113" t="s">
        <v>1189</v>
      </c>
      <c r="B1189" s="103" t="s">
        <v>1458</v>
      </c>
      <c r="C1189" s="114" t="s">
        <v>1464</v>
      </c>
      <c r="D1189" s="115"/>
      <c r="E1189" s="116"/>
      <c r="F1189" s="115" t="s">
        <v>519</v>
      </c>
      <c r="G1189" s="117"/>
      <c r="H1189" s="118"/>
      <c r="I1189" s="119"/>
      <c r="K1189" s="84"/>
    </row>
    <row r="1190" spans="1:11" s="16" customFormat="1" ht="10.5" customHeight="1" thickBot="1">
      <c r="A1190" s="113" t="s">
        <v>1189</v>
      </c>
      <c r="B1190" s="103" t="s">
        <v>1458</v>
      </c>
      <c r="C1190" s="114" t="s">
        <v>1465</v>
      </c>
      <c r="D1190" s="115"/>
      <c r="E1190" s="116"/>
      <c r="F1190" s="115" t="s">
        <v>519</v>
      </c>
      <c r="G1190" s="117"/>
      <c r="H1190" s="136"/>
      <c r="I1190" s="119"/>
      <c r="K1190" s="84"/>
    </row>
  </sheetData>
  <mergeCells count="12">
    <mergeCell ref="A827:I827"/>
    <mergeCell ref="D6:E6"/>
    <mergeCell ref="F6:G6"/>
    <mergeCell ref="H6:H7"/>
    <mergeCell ref="I6:I7"/>
    <mergeCell ref="A6:A7"/>
    <mergeCell ref="B6:B7"/>
    <mergeCell ref="C6:C7"/>
    <mergeCell ref="D1:F2"/>
    <mergeCell ref="C3:F3"/>
    <mergeCell ref="B4:F4"/>
    <mergeCell ref="B5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3"/>
  <sheetViews>
    <sheetView workbookViewId="0" topLeftCell="A1">
      <selection activeCell="G5" sqref="G5"/>
    </sheetView>
  </sheetViews>
  <sheetFormatPr defaultColWidth="9.140625" defaultRowHeight="12.75"/>
  <cols>
    <col min="1" max="1" width="10.421875" style="0" customWidth="1"/>
    <col min="2" max="2" width="13.28125" style="0" customWidth="1"/>
    <col min="5" max="5" width="4.140625" style="0" customWidth="1"/>
    <col min="6" max="6" width="55.8515625" style="0" customWidth="1"/>
    <col min="7" max="7" width="18.28125" style="0" customWidth="1"/>
  </cols>
  <sheetData>
    <row r="1" spans="2:7" ht="11.25" customHeight="1">
      <c r="B1" s="11"/>
      <c r="C1" s="11"/>
      <c r="D1" s="156"/>
      <c r="E1" s="156"/>
      <c r="F1" s="156"/>
      <c r="G1" s="156"/>
    </row>
    <row r="2" spans="3:7" ht="27" customHeight="1">
      <c r="C2" s="10"/>
      <c r="D2" s="156"/>
      <c r="E2" s="156"/>
      <c r="F2" s="156"/>
      <c r="G2" s="156"/>
    </row>
    <row r="3" spans="1:7" ht="18" customHeight="1">
      <c r="A3" s="157" t="s">
        <v>334</v>
      </c>
      <c r="B3" s="157"/>
      <c r="C3" s="157"/>
      <c r="D3" s="157"/>
      <c r="E3" s="157"/>
      <c r="F3" s="157"/>
      <c r="G3" s="157"/>
    </row>
    <row r="4" spans="1:7" ht="15.75" customHeight="1">
      <c r="A4" s="157" t="s">
        <v>335</v>
      </c>
      <c r="B4" s="157"/>
      <c r="C4" s="157"/>
      <c r="D4" s="157"/>
      <c r="E4" s="157"/>
      <c r="F4" s="157"/>
      <c r="G4" s="157"/>
    </row>
    <row r="5" spans="1:9" s="16" customFormat="1" ht="13.5" customHeight="1">
      <c r="A5" s="154" t="s">
        <v>1468</v>
      </c>
      <c r="B5" s="154" t="s">
        <v>1469</v>
      </c>
      <c r="C5" s="155"/>
      <c r="D5" s="155"/>
      <c r="E5" s="155"/>
      <c r="F5" s="155" t="s">
        <v>1470</v>
      </c>
      <c r="G5" s="154" t="s">
        <v>1471</v>
      </c>
      <c r="I5" s="91"/>
    </row>
    <row r="6" spans="1:9" s="16" customFormat="1" ht="13.5" customHeight="1">
      <c r="A6" s="99">
        <v>0.8</v>
      </c>
      <c r="B6" s="99" t="s">
        <v>1472</v>
      </c>
      <c r="C6" s="100"/>
      <c r="D6" s="100"/>
      <c r="E6" s="100"/>
      <c r="F6" s="100" t="s">
        <v>1473</v>
      </c>
      <c r="G6" s="99">
        <f>3.55+1.57+1.27-0.36-0.5</f>
        <v>5.53</v>
      </c>
      <c r="I6" s="91"/>
    </row>
    <row r="7" spans="1:9" s="16" customFormat="1" ht="13.5" customHeight="1">
      <c r="A7" s="99">
        <v>1</v>
      </c>
      <c r="B7" s="99" t="s">
        <v>1474</v>
      </c>
      <c r="C7" s="100"/>
      <c r="D7" s="100"/>
      <c r="E7" s="100"/>
      <c r="F7" s="101" t="s">
        <v>1475</v>
      </c>
      <c r="G7" s="99">
        <f>3.165-0.032-0.99-0.1</f>
        <v>2.0429999999999997</v>
      </c>
      <c r="I7" s="91"/>
    </row>
    <row r="8" spans="1:9" s="16" customFormat="1" ht="13.5" customHeight="1">
      <c r="A8" s="99" t="s">
        <v>1476</v>
      </c>
      <c r="B8" s="99">
        <v>3</v>
      </c>
      <c r="C8" s="100"/>
      <c r="D8" s="100"/>
      <c r="E8" s="100"/>
      <c r="F8" s="101" t="s">
        <v>1477</v>
      </c>
      <c r="G8" s="102">
        <f>1.7-0.3-0.15</f>
        <v>1.25</v>
      </c>
      <c r="I8" s="91"/>
    </row>
    <row r="9" spans="1:9" s="16" customFormat="1" ht="13.5" customHeight="1">
      <c r="A9" s="99" t="s">
        <v>1478</v>
      </c>
      <c r="B9" s="99">
        <v>3</v>
      </c>
      <c r="C9" s="100"/>
      <c r="D9" s="100"/>
      <c r="E9" s="100"/>
      <c r="F9" s="101" t="s">
        <v>1477</v>
      </c>
      <c r="G9" s="99">
        <f>2.905-0.165-0.065-0.07-0.07-0.15</f>
        <v>2.3850000000000002</v>
      </c>
      <c r="I9" s="91"/>
    </row>
    <row r="10" spans="1:9" s="16" customFormat="1" ht="13.5" customHeight="1">
      <c r="A10" s="99">
        <v>1.5</v>
      </c>
      <c r="B10" s="99" t="s">
        <v>1474</v>
      </c>
      <c r="C10" s="100"/>
      <c r="D10" s="100"/>
      <c r="E10" s="100"/>
      <c r="F10" s="101" t="s">
        <v>1477</v>
      </c>
      <c r="G10" s="99">
        <v>0.35</v>
      </c>
      <c r="I10" s="91"/>
    </row>
    <row r="11" spans="1:9" s="16" customFormat="1" ht="13.5" customHeight="1">
      <c r="A11" s="99">
        <v>2</v>
      </c>
      <c r="B11" s="99">
        <v>3</v>
      </c>
      <c r="C11" s="100"/>
      <c r="D11" s="100"/>
      <c r="E11" s="100"/>
      <c r="F11" s="101" t="s">
        <v>1479</v>
      </c>
      <c r="G11" s="99">
        <v>1.44</v>
      </c>
      <c r="I11" s="91"/>
    </row>
    <row r="12" spans="1:9" s="16" customFormat="1" ht="13.5" customHeight="1">
      <c r="A12" s="99">
        <v>2.5</v>
      </c>
      <c r="B12" s="99">
        <v>3</v>
      </c>
      <c r="C12" s="100"/>
      <c r="D12" s="100"/>
      <c r="E12" s="100"/>
      <c r="F12" s="101" t="s">
        <v>1480</v>
      </c>
      <c r="G12" s="99">
        <v>1.6</v>
      </c>
      <c r="I12" s="91"/>
    </row>
    <row r="13" spans="1:9" s="16" customFormat="1" ht="13.5" customHeight="1">
      <c r="A13" s="99">
        <v>3</v>
      </c>
      <c r="B13" s="99">
        <v>20</v>
      </c>
      <c r="C13" s="100"/>
      <c r="D13" s="100"/>
      <c r="E13" s="100"/>
      <c r="F13" s="101" t="s">
        <v>1481</v>
      </c>
      <c r="G13" s="99">
        <f>2.26-0.18-0.12</f>
        <v>1.9599999999999995</v>
      </c>
      <c r="I13" s="91"/>
    </row>
    <row r="14" spans="1:9" s="16" customFormat="1" ht="13.5" customHeight="1">
      <c r="A14" s="97" t="s">
        <v>1482</v>
      </c>
      <c r="B14" s="97"/>
      <c r="C14" s="97"/>
      <c r="D14" s="97"/>
      <c r="E14" s="97"/>
      <c r="F14" s="97" t="s">
        <v>1483</v>
      </c>
      <c r="G14" s="102">
        <v>0.12</v>
      </c>
      <c r="I14" s="91"/>
    </row>
    <row r="15" spans="1:9" s="16" customFormat="1" ht="13.5" customHeight="1">
      <c r="A15" s="97" t="s">
        <v>1484</v>
      </c>
      <c r="B15" s="97">
        <v>3</v>
      </c>
      <c r="C15" s="97"/>
      <c r="D15" s="97"/>
      <c r="E15" s="97"/>
      <c r="F15" s="97" t="s">
        <v>1477</v>
      </c>
      <c r="G15" s="102">
        <v>3.02</v>
      </c>
      <c r="I15" s="91"/>
    </row>
    <row r="16" spans="1:9" s="16" customFormat="1" ht="13.5" customHeight="1">
      <c r="A16" s="99" t="s">
        <v>1484</v>
      </c>
      <c r="B16" s="99">
        <v>3</v>
      </c>
      <c r="C16" s="100"/>
      <c r="D16" s="100"/>
      <c r="E16" s="100"/>
      <c r="F16" s="101" t="s">
        <v>1485</v>
      </c>
      <c r="G16" s="102">
        <v>0.37</v>
      </c>
      <c r="I16" s="91"/>
    </row>
    <row r="17" spans="1:9" s="16" customFormat="1" ht="13.5" customHeight="1">
      <c r="A17" s="99">
        <v>5</v>
      </c>
      <c r="B17" s="99">
        <v>3</v>
      </c>
      <c r="C17" s="100"/>
      <c r="D17" s="100"/>
      <c r="E17" s="100"/>
      <c r="F17" s="101" t="s">
        <v>1486</v>
      </c>
      <c r="G17" s="102">
        <v>2.77</v>
      </c>
      <c r="I17" s="91"/>
    </row>
    <row r="18" spans="1:9" s="16" customFormat="1" ht="13.5" customHeight="1">
      <c r="A18" s="99">
        <v>5</v>
      </c>
      <c r="B18" s="99">
        <v>20</v>
      </c>
      <c r="C18" s="100"/>
      <c r="D18" s="100"/>
      <c r="E18" s="100"/>
      <c r="F18" s="101" t="s">
        <v>1477</v>
      </c>
      <c r="G18" s="102">
        <f>6.1-0.76-0.14</f>
        <v>5.2</v>
      </c>
      <c r="I18" s="91"/>
    </row>
    <row r="19" spans="1:9" s="16" customFormat="1" ht="13.5" customHeight="1">
      <c r="A19" s="97">
        <v>6</v>
      </c>
      <c r="B19" s="97">
        <v>3</v>
      </c>
      <c r="C19" s="97"/>
      <c r="D19" s="97"/>
      <c r="E19" s="97"/>
      <c r="F19" s="97" t="s">
        <v>1487</v>
      </c>
      <c r="G19" s="102">
        <v>2.84</v>
      </c>
      <c r="I19" s="91"/>
    </row>
    <row r="20" spans="1:9" s="16" customFormat="1" ht="13.5" customHeight="1">
      <c r="A20" s="97">
        <v>6</v>
      </c>
      <c r="B20" s="97">
        <v>3</v>
      </c>
      <c r="C20" s="97"/>
      <c r="D20" s="97"/>
      <c r="E20" s="97"/>
      <c r="F20" s="97" t="s">
        <v>1488</v>
      </c>
      <c r="G20" s="102">
        <f>8.4-2.13+1.5</f>
        <v>7.7700000000000005</v>
      </c>
      <c r="I20" s="91"/>
    </row>
    <row r="21" spans="1:9" s="16" customFormat="1" ht="13.5" customHeight="1">
      <c r="A21" s="97">
        <v>6</v>
      </c>
      <c r="B21" s="97">
        <v>20</v>
      </c>
      <c r="C21" s="97"/>
      <c r="D21" s="97"/>
      <c r="E21" s="97"/>
      <c r="F21" s="97" t="s">
        <v>1489</v>
      </c>
      <c r="G21" s="102">
        <f>10.75-0.7-1.205</f>
        <v>8.845</v>
      </c>
      <c r="I21" s="91"/>
    </row>
    <row r="22" spans="1:9" s="16" customFormat="1" ht="13.5" customHeight="1">
      <c r="A22" s="97">
        <v>6</v>
      </c>
      <c r="B22" s="97">
        <v>45</v>
      </c>
      <c r="C22" s="97"/>
      <c r="D22" s="97"/>
      <c r="E22" s="97"/>
      <c r="F22" s="97" t="s">
        <v>1490</v>
      </c>
      <c r="G22" s="102">
        <f>2.87-0.185-2.145+2.82-0.18</f>
        <v>3.1799999999999997</v>
      </c>
      <c r="I22" s="91"/>
    </row>
    <row r="23" spans="1:9" s="16" customFormat="1" ht="13.5" customHeight="1">
      <c r="A23" s="97">
        <v>8</v>
      </c>
      <c r="B23" s="97">
        <v>3</v>
      </c>
      <c r="C23" s="97"/>
      <c r="D23" s="97"/>
      <c r="E23" s="97"/>
      <c r="F23" s="97" t="s">
        <v>1491</v>
      </c>
      <c r="G23" s="102">
        <v>1.14</v>
      </c>
      <c r="I23" s="91"/>
    </row>
    <row r="24" spans="1:9" s="16" customFormat="1" ht="13.5" customHeight="1">
      <c r="A24" s="97">
        <v>8</v>
      </c>
      <c r="B24" s="97">
        <v>3</v>
      </c>
      <c r="C24" s="97"/>
      <c r="D24" s="97"/>
      <c r="E24" s="97"/>
      <c r="F24" s="97" t="s">
        <v>1492</v>
      </c>
      <c r="G24" s="102">
        <f>8.77-2.11+2.32</f>
        <v>8.98</v>
      </c>
      <c r="I24" s="91"/>
    </row>
    <row r="25" spans="1:9" s="16" customFormat="1" ht="13.5" customHeight="1">
      <c r="A25" s="97">
        <v>8</v>
      </c>
      <c r="B25" s="97" t="s">
        <v>1037</v>
      </c>
      <c r="C25" s="97"/>
      <c r="D25" s="97"/>
      <c r="E25" s="97"/>
      <c r="F25" s="97" t="s">
        <v>1493</v>
      </c>
      <c r="G25" s="102">
        <f>6.85-0.4-1.21-0.4-0.4-0.4-0.4-0.8-0.415-0.4</f>
        <v>2.024999999999998</v>
      </c>
      <c r="I25" s="91"/>
    </row>
    <row r="26" spans="1:9" s="16" customFormat="1" ht="13.5" customHeight="1">
      <c r="A26" s="97">
        <v>8</v>
      </c>
      <c r="B26" s="97" t="s">
        <v>1494</v>
      </c>
      <c r="C26" s="97"/>
      <c r="D26" s="97"/>
      <c r="E26" s="97"/>
      <c r="F26" s="97" t="s">
        <v>1495</v>
      </c>
      <c r="G26" s="102">
        <v>6.5</v>
      </c>
      <c r="I26" s="91"/>
    </row>
    <row r="27" spans="1:9" s="16" customFormat="1" ht="13.5" customHeight="1">
      <c r="A27" s="97">
        <v>8</v>
      </c>
      <c r="B27" s="97" t="s">
        <v>1494</v>
      </c>
      <c r="C27" s="97"/>
      <c r="D27" s="97"/>
      <c r="E27" s="97"/>
      <c r="F27" s="97" t="s">
        <v>1496</v>
      </c>
      <c r="G27" s="102">
        <v>14.93</v>
      </c>
      <c r="I27" s="91"/>
    </row>
    <row r="28" spans="1:9" s="16" customFormat="1" ht="13.5" customHeight="1">
      <c r="A28" s="97">
        <v>8</v>
      </c>
      <c r="B28" s="97" t="s">
        <v>1494</v>
      </c>
      <c r="C28" s="97"/>
      <c r="D28" s="97"/>
      <c r="E28" s="97"/>
      <c r="F28" s="97" t="s">
        <v>1497</v>
      </c>
      <c r="G28" s="102">
        <f>13.65+6.5</f>
        <v>20.15</v>
      </c>
      <c r="I28" s="91"/>
    </row>
    <row r="29" spans="1:9" s="16" customFormat="1" ht="13.5" customHeight="1">
      <c r="A29" s="97">
        <v>8</v>
      </c>
      <c r="B29" s="21" t="s">
        <v>1645</v>
      </c>
      <c r="C29" s="97"/>
      <c r="D29" s="97"/>
      <c r="E29" s="97"/>
      <c r="F29" s="97" t="s">
        <v>1498</v>
      </c>
      <c r="G29" s="102">
        <f>26.64-0.31</f>
        <v>26.330000000000002</v>
      </c>
      <c r="I29" s="91"/>
    </row>
    <row r="30" spans="1:9" s="16" customFormat="1" ht="13.5" customHeight="1">
      <c r="A30" s="97">
        <v>8</v>
      </c>
      <c r="B30" s="97" t="s">
        <v>1494</v>
      </c>
      <c r="C30" s="97"/>
      <c r="D30" s="97"/>
      <c r="E30" s="97"/>
      <c r="F30" s="97" t="s">
        <v>1499</v>
      </c>
      <c r="G30" s="102">
        <f>96.14-4.75-20.48+4.75</f>
        <v>75.66</v>
      </c>
      <c r="I30" s="91"/>
    </row>
    <row r="31" spans="1:9" s="16" customFormat="1" ht="13.5" customHeight="1">
      <c r="A31" s="97">
        <v>8</v>
      </c>
      <c r="B31" s="97" t="s">
        <v>1494</v>
      </c>
      <c r="C31" s="97"/>
      <c r="D31" s="97"/>
      <c r="E31" s="97"/>
      <c r="F31" s="97" t="s">
        <v>1500</v>
      </c>
      <c r="G31" s="102">
        <v>9.44</v>
      </c>
      <c r="I31" s="91"/>
    </row>
    <row r="32" spans="1:9" s="16" customFormat="1" ht="13.5" customHeight="1">
      <c r="A32" s="97">
        <v>8</v>
      </c>
      <c r="B32" s="97" t="s">
        <v>1494</v>
      </c>
      <c r="C32" s="97"/>
      <c r="D32" s="97"/>
      <c r="E32" s="97"/>
      <c r="F32" s="97" t="s">
        <v>1501</v>
      </c>
      <c r="G32" s="102">
        <f>50.28-6.77</f>
        <v>43.510000000000005</v>
      </c>
      <c r="I32" s="91"/>
    </row>
    <row r="33" spans="1:9" s="16" customFormat="1" ht="13.5" customHeight="1">
      <c r="A33" s="97">
        <v>8</v>
      </c>
      <c r="B33" s="97" t="s">
        <v>1494</v>
      </c>
      <c r="C33" s="97"/>
      <c r="D33" s="97"/>
      <c r="E33" s="97"/>
      <c r="F33" s="97" t="s">
        <v>1502</v>
      </c>
      <c r="G33" s="102">
        <v>37.32</v>
      </c>
      <c r="I33" s="91"/>
    </row>
    <row r="34" spans="1:9" s="16" customFormat="1" ht="13.5" customHeight="1">
      <c r="A34" s="97">
        <v>8</v>
      </c>
      <c r="B34" s="97" t="s">
        <v>1503</v>
      </c>
      <c r="C34" s="97"/>
      <c r="D34" s="97"/>
      <c r="E34" s="97"/>
      <c r="F34" s="97" t="s">
        <v>1504</v>
      </c>
      <c r="G34" s="102"/>
      <c r="I34" s="91"/>
    </row>
    <row r="35" spans="1:9" s="16" customFormat="1" ht="13.5" customHeight="1">
      <c r="A35" s="97">
        <v>10</v>
      </c>
      <c r="B35" s="97">
        <v>3</v>
      </c>
      <c r="C35" s="97"/>
      <c r="D35" s="97"/>
      <c r="E35" s="97"/>
      <c r="F35" s="97" t="s">
        <v>1505</v>
      </c>
      <c r="G35" s="102">
        <v>6.79</v>
      </c>
      <c r="I35" s="91"/>
    </row>
    <row r="36" spans="1:9" s="16" customFormat="1" ht="13.5" customHeight="1">
      <c r="A36" s="97" t="s">
        <v>1506</v>
      </c>
      <c r="B36" s="97">
        <v>3</v>
      </c>
      <c r="C36" s="97"/>
      <c r="D36" s="97"/>
      <c r="E36" s="97"/>
      <c r="F36" s="97" t="s">
        <v>1507</v>
      </c>
      <c r="G36" s="102">
        <v>0.89</v>
      </c>
      <c r="I36" s="91"/>
    </row>
    <row r="37" spans="1:9" s="16" customFormat="1" ht="13.5" customHeight="1">
      <c r="A37" s="97">
        <v>10</v>
      </c>
      <c r="B37" s="97">
        <v>3</v>
      </c>
      <c r="C37" s="97"/>
      <c r="D37" s="97"/>
      <c r="E37" s="97"/>
      <c r="F37" s="97" t="s">
        <v>1508</v>
      </c>
      <c r="G37" s="102">
        <f>9.24+4.18-1.35-2.81-3.57-0.65-0.7-0.74</f>
        <v>3.5999999999999988</v>
      </c>
      <c r="I37" s="91"/>
    </row>
    <row r="38" spans="1:9" s="16" customFormat="1" ht="13.5" customHeight="1">
      <c r="A38" s="97" t="s">
        <v>1509</v>
      </c>
      <c r="B38" s="97">
        <v>20</v>
      </c>
      <c r="C38" s="97"/>
      <c r="D38" s="97"/>
      <c r="E38" s="97"/>
      <c r="F38" s="97" t="s">
        <v>1510</v>
      </c>
      <c r="G38" s="102">
        <v>0.9</v>
      </c>
      <c r="I38" s="91"/>
    </row>
    <row r="39" spans="1:9" s="16" customFormat="1" ht="13.5" customHeight="1">
      <c r="A39" s="97">
        <v>10</v>
      </c>
      <c r="B39" s="97" t="s">
        <v>258</v>
      </c>
      <c r="C39" s="97"/>
      <c r="D39" s="97"/>
      <c r="E39" s="97"/>
      <c r="F39" s="97" t="s">
        <v>1511</v>
      </c>
      <c r="G39" s="102">
        <v>1.145</v>
      </c>
      <c r="I39" s="91"/>
    </row>
    <row r="40" spans="1:9" s="16" customFormat="1" ht="13.5" customHeight="1">
      <c r="A40" s="97">
        <v>10</v>
      </c>
      <c r="B40" s="97" t="s">
        <v>1275</v>
      </c>
      <c r="C40" s="97"/>
      <c r="D40" s="97"/>
      <c r="E40" s="97"/>
      <c r="F40" s="97" t="s">
        <v>1512</v>
      </c>
      <c r="G40" s="102">
        <f>5.62-2.04-0.52</f>
        <v>3.06</v>
      </c>
      <c r="I40" s="91"/>
    </row>
    <row r="41" spans="1:9" s="16" customFormat="1" ht="13.5" customHeight="1">
      <c r="A41" s="97">
        <v>12</v>
      </c>
      <c r="B41" s="97">
        <v>3</v>
      </c>
      <c r="C41" s="97"/>
      <c r="D41" s="97"/>
      <c r="E41" s="97"/>
      <c r="F41" s="97" t="s">
        <v>1513</v>
      </c>
      <c r="G41" s="102">
        <f>5-1.725-1.68-0.85</f>
        <v>0.745</v>
      </c>
      <c r="I41" s="91"/>
    </row>
    <row r="42" spans="1:9" s="16" customFormat="1" ht="13.5" customHeight="1">
      <c r="A42" s="97">
        <v>12</v>
      </c>
      <c r="B42" s="97" t="s">
        <v>1341</v>
      </c>
      <c r="C42" s="97"/>
      <c r="D42" s="97"/>
      <c r="E42" s="97"/>
      <c r="F42" s="97" t="s">
        <v>1514</v>
      </c>
      <c r="G42" s="102">
        <v>1.55</v>
      </c>
      <c r="I42" s="91"/>
    </row>
    <row r="43" spans="1:9" s="16" customFormat="1" ht="13.5" customHeight="1">
      <c r="A43" s="97">
        <v>12</v>
      </c>
      <c r="B43" s="97" t="s">
        <v>1341</v>
      </c>
      <c r="C43" s="97"/>
      <c r="D43" s="97"/>
      <c r="E43" s="97"/>
      <c r="F43" s="98" t="s">
        <v>1515</v>
      </c>
      <c r="G43" s="102">
        <f>48.1-4.025-12.14+0.665-5.97+0.9-0.9-4.14</f>
        <v>22.490000000000002</v>
      </c>
      <c r="I43" s="91"/>
    </row>
    <row r="44" spans="1:9" s="16" customFormat="1" ht="13.5" customHeight="1">
      <c r="A44" s="97">
        <v>12</v>
      </c>
      <c r="B44" s="97" t="s">
        <v>1516</v>
      </c>
      <c r="C44" s="97"/>
      <c r="D44" s="97"/>
      <c r="E44" s="97"/>
      <c r="F44" s="98" t="s">
        <v>1517</v>
      </c>
      <c r="G44" s="102">
        <v>0.59</v>
      </c>
      <c r="I44" s="91"/>
    </row>
    <row r="45" spans="1:9" s="16" customFormat="1" ht="13.5" customHeight="1">
      <c r="A45" s="97">
        <v>14</v>
      </c>
      <c r="B45" s="97"/>
      <c r="C45" s="97"/>
      <c r="D45" s="97"/>
      <c r="E45" s="97"/>
      <c r="F45" s="98" t="s">
        <v>1518</v>
      </c>
      <c r="G45" s="102"/>
      <c r="I45" s="91"/>
    </row>
    <row r="46" spans="1:9" s="16" customFormat="1" ht="13.5" customHeight="1">
      <c r="A46" s="97">
        <v>14</v>
      </c>
      <c r="B46" s="97">
        <v>45</v>
      </c>
      <c r="C46" s="97"/>
      <c r="D46" s="97"/>
      <c r="E46" s="97"/>
      <c r="F46" s="98" t="s">
        <v>1519</v>
      </c>
      <c r="G46" s="102">
        <f>2.64-1.32</f>
        <v>1.32</v>
      </c>
      <c r="I46" s="91"/>
    </row>
    <row r="47" spans="1:9" s="16" customFormat="1" ht="13.5" customHeight="1">
      <c r="A47" s="97">
        <v>14</v>
      </c>
      <c r="B47" s="97" t="s">
        <v>1341</v>
      </c>
      <c r="C47" s="97"/>
      <c r="D47" s="97"/>
      <c r="E47" s="97"/>
      <c r="F47" s="98" t="s">
        <v>1520</v>
      </c>
      <c r="G47" s="102">
        <v>2.53</v>
      </c>
      <c r="I47" s="91"/>
    </row>
    <row r="48" spans="1:9" s="16" customFormat="1" ht="13.5" customHeight="1">
      <c r="A48" s="97">
        <v>15</v>
      </c>
      <c r="B48" s="97" t="s">
        <v>1516</v>
      </c>
      <c r="C48" s="97"/>
      <c r="D48" s="97"/>
      <c r="E48" s="97"/>
      <c r="F48" s="98" t="s">
        <v>1521</v>
      </c>
      <c r="G48" s="102">
        <v>0.855</v>
      </c>
      <c r="I48" s="91"/>
    </row>
    <row r="49" spans="1:9" s="16" customFormat="1" ht="13.5" customHeight="1">
      <c r="A49" s="97">
        <v>15</v>
      </c>
      <c r="B49" s="97" t="s">
        <v>1275</v>
      </c>
      <c r="C49" s="98"/>
      <c r="D49" s="98"/>
      <c r="E49" s="98"/>
      <c r="F49" s="98" t="s">
        <v>1522</v>
      </c>
      <c r="G49" s="102">
        <f>3.91-0.47-0.43-0.45-0.44</f>
        <v>2.12</v>
      </c>
      <c r="I49" s="91"/>
    </row>
    <row r="50" spans="1:9" s="16" customFormat="1" ht="13.5" customHeight="1">
      <c r="A50" s="97">
        <v>16</v>
      </c>
      <c r="B50" s="97"/>
      <c r="C50" s="98"/>
      <c r="D50" s="98"/>
      <c r="E50" s="98"/>
      <c r="F50" s="98" t="s">
        <v>1523</v>
      </c>
      <c r="G50" s="102"/>
      <c r="I50" s="91"/>
    </row>
    <row r="51" spans="1:9" s="16" customFormat="1" ht="13.5" customHeight="1">
      <c r="A51" s="97">
        <v>16</v>
      </c>
      <c r="B51" s="97">
        <v>3</v>
      </c>
      <c r="C51" s="98"/>
      <c r="D51" s="98"/>
      <c r="E51" s="98"/>
      <c r="F51" s="98" t="s">
        <v>1524</v>
      </c>
      <c r="G51" s="102">
        <f>3.97-1.295-1.355</f>
        <v>1.3200000000000003</v>
      </c>
      <c r="I51" s="91"/>
    </row>
    <row r="52" spans="1:9" s="16" customFormat="1" ht="13.5" customHeight="1">
      <c r="A52" s="97">
        <v>17</v>
      </c>
      <c r="B52" s="97" t="s">
        <v>1516</v>
      </c>
      <c r="C52" s="98"/>
      <c r="D52" s="98"/>
      <c r="E52" s="98"/>
      <c r="F52" s="98" t="s">
        <v>1525</v>
      </c>
      <c r="G52" s="102">
        <v>1.15</v>
      </c>
      <c r="I52" s="91"/>
    </row>
    <row r="53" spans="1:9" s="16" customFormat="1" ht="13.5" customHeight="1">
      <c r="A53" s="97">
        <v>18</v>
      </c>
      <c r="B53" s="97" t="s">
        <v>1516</v>
      </c>
      <c r="C53" s="98"/>
      <c r="D53" s="98"/>
      <c r="E53" s="98"/>
      <c r="F53" s="98" t="s">
        <v>1526</v>
      </c>
      <c r="G53" s="102">
        <v>1.5</v>
      </c>
      <c r="I53" s="91"/>
    </row>
    <row r="54" spans="1:9" s="16" customFormat="1" ht="13.5" customHeight="1">
      <c r="A54" s="97">
        <v>18</v>
      </c>
      <c r="B54" s="97">
        <v>25</v>
      </c>
      <c r="C54" s="98"/>
      <c r="D54" s="98"/>
      <c r="E54" s="98"/>
      <c r="F54" s="98" t="s">
        <v>1527</v>
      </c>
      <c r="G54" s="102">
        <f>2.585+2.465+2.48</f>
        <v>7.529999999999999</v>
      </c>
      <c r="I54" s="91"/>
    </row>
    <row r="55" spans="1:9" s="16" customFormat="1" ht="13.5" customHeight="1">
      <c r="A55" s="97">
        <v>18</v>
      </c>
      <c r="B55" s="97" t="s">
        <v>1275</v>
      </c>
      <c r="C55" s="98"/>
      <c r="D55" s="98"/>
      <c r="E55" s="98"/>
      <c r="F55" s="98" t="s">
        <v>1528</v>
      </c>
      <c r="G55" s="102">
        <f>2.7-0.385+1.78-1.78-0.47-0.47-0.45-0.44</f>
        <v>0.4850000000000005</v>
      </c>
      <c r="I55" s="91"/>
    </row>
    <row r="56" spans="1:9" s="16" customFormat="1" ht="13.5" customHeight="1">
      <c r="A56" s="97">
        <v>19</v>
      </c>
      <c r="B56" s="97">
        <v>3</v>
      </c>
      <c r="C56" s="98"/>
      <c r="D56" s="98"/>
      <c r="E56" s="98"/>
      <c r="F56" s="98" t="s">
        <v>1529</v>
      </c>
      <c r="G56" s="102">
        <v>0.14</v>
      </c>
      <c r="I56" s="91"/>
    </row>
    <row r="57" spans="1:9" s="16" customFormat="1" ht="13.5" customHeight="1">
      <c r="A57" s="97">
        <v>20</v>
      </c>
      <c r="B57" s="97"/>
      <c r="C57" s="98"/>
      <c r="D57" s="98"/>
      <c r="E57" s="98"/>
      <c r="F57" s="98" t="s">
        <v>1530</v>
      </c>
      <c r="G57" s="102"/>
      <c r="I57" s="91"/>
    </row>
    <row r="58" spans="1:9" s="16" customFormat="1" ht="13.5" customHeight="1">
      <c r="A58" s="97">
        <v>20</v>
      </c>
      <c r="B58" s="97">
        <v>3</v>
      </c>
      <c r="C58" s="98"/>
      <c r="D58" s="98"/>
      <c r="E58" s="98"/>
      <c r="F58" s="98" t="s">
        <v>1531</v>
      </c>
      <c r="G58" s="102">
        <f>11.22-1.44+2.4-1.42-1.41-1.415</f>
        <v>7.935000000000001</v>
      </c>
      <c r="I58" s="91"/>
    </row>
    <row r="59" spans="1:9" s="16" customFormat="1" ht="13.5" customHeight="1">
      <c r="A59" s="97">
        <v>20</v>
      </c>
      <c r="B59" s="97">
        <v>45</v>
      </c>
      <c r="C59" s="98"/>
      <c r="D59" s="98"/>
      <c r="E59" s="98"/>
      <c r="F59" s="98" t="s">
        <v>1532</v>
      </c>
      <c r="G59" s="102">
        <v>5.61</v>
      </c>
      <c r="I59" s="91"/>
    </row>
    <row r="60" spans="1:9" s="16" customFormat="1" ht="13.5" customHeight="1">
      <c r="A60" s="97">
        <v>20</v>
      </c>
      <c r="B60" s="97" t="s">
        <v>1275</v>
      </c>
      <c r="C60" s="98"/>
      <c r="D60" s="98"/>
      <c r="E60" s="98"/>
      <c r="F60" s="98" t="s">
        <v>1533</v>
      </c>
      <c r="G60" s="102">
        <v>3.01</v>
      </c>
      <c r="I60" s="91"/>
    </row>
    <row r="61" spans="1:9" s="16" customFormat="1" ht="13.5" customHeight="1">
      <c r="A61" s="97">
        <v>20</v>
      </c>
      <c r="B61" s="97" t="s">
        <v>1534</v>
      </c>
      <c r="C61" s="98"/>
      <c r="D61" s="98"/>
      <c r="E61" s="98"/>
      <c r="F61" s="98" t="s">
        <v>1535</v>
      </c>
      <c r="G61" s="102">
        <f>5.49-0.72</f>
        <v>4.7700000000000005</v>
      </c>
      <c r="I61" s="91"/>
    </row>
    <row r="62" spans="1:9" s="16" customFormat="1" ht="13.5" customHeight="1">
      <c r="A62" s="97">
        <v>20</v>
      </c>
      <c r="B62" s="97" t="s">
        <v>1536</v>
      </c>
      <c r="C62" s="98"/>
      <c r="D62" s="98"/>
      <c r="E62" s="98"/>
      <c r="F62" s="98" t="s">
        <v>1537</v>
      </c>
      <c r="G62" s="102">
        <v>0.19</v>
      </c>
      <c r="I62" s="91"/>
    </row>
    <row r="63" spans="1:9" s="16" customFormat="1" ht="13.5" customHeight="1">
      <c r="A63" s="97">
        <v>20</v>
      </c>
      <c r="B63" s="97" t="s">
        <v>1538</v>
      </c>
      <c r="C63" s="98"/>
      <c r="D63" s="98"/>
      <c r="E63" s="98"/>
      <c r="F63" s="98" t="s">
        <v>1539</v>
      </c>
      <c r="G63" s="102">
        <f>90.14+4.44+19.185+47.865-20.76-19.46-20.18-20</f>
        <v>81.22999999999999</v>
      </c>
      <c r="I63" s="91"/>
    </row>
    <row r="64" spans="1:9" s="16" customFormat="1" ht="13.5" customHeight="1">
      <c r="A64" s="97">
        <v>20</v>
      </c>
      <c r="B64" s="97" t="s">
        <v>1540</v>
      </c>
      <c r="C64" s="98"/>
      <c r="D64" s="98"/>
      <c r="E64" s="98"/>
      <c r="F64" s="98" t="s">
        <v>1541</v>
      </c>
      <c r="G64" s="102">
        <v>1.45</v>
      </c>
      <c r="I64" s="91"/>
    </row>
    <row r="65" spans="1:9" s="16" customFormat="1" ht="13.5" customHeight="1">
      <c r="A65" s="97">
        <v>22</v>
      </c>
      <c r="B65" s="97" t="s">
        <v>1341</v>
      </c>
      <c r="C65" s="98"/>
      <c r="D65" s="98"/>
      <c r="E65" s="98"/>
      <c r="F65" s="98" t="s">
        <v>1542</v>
      </c>
      <c r="G65" s="102">
        <f>5.96-1.99</f>
        <v>3.9699999999999998</v>
      </c>
      <c r="I65" s="91"/>
    </row>
    <row r="66" spans="1:9" s="16" customFormat="1" ht="13.5" customHeight="1">
      <c r="A66" s="97">
        <v>22</v>
      </c>
      <c r="B66" s="97" t="s">
        <v>1538</v>
      </c>
      <c r="C66" s="98"/>
      <c r="D66" s="98"/>
      <c r="E66" s="98"/>
      <c r="F66" s="98" t="s">
        <v>1543</v>
      </c>
      <c r="G66" s="102">
        <f>15.1+7.4-10.465-1.485</f>
        <v>10.55</v>
      </c>
      <c r="I66" s="91"/>
    </row>
    <row r="67" spans="1:9" s="16" customFormat="1" ht="13.5" customHeight="1">
      <c r="A67" s="97">
        <v>24</v>
      </c>
      <c r="B67" s="97">
        <v>3</v>
      </c>
      <c r="C67" s="98"/>
      <c r="D67" s="98"/>
      <c r="E67" s="98"/>
      <c r="F67" s="98" t="s">
        <v>1544</v>
      </c>
      <c r="G67" s="102">
        <v>0.135</v>
      </c>
      <c r="I67" s="91"/>
    </row>
    <row r="68" spans="1:9" s="16" customFormat="1" ht="13.5" customHeight="1">
      <c r="A68" s="97">
        <v>24</v>
      </c>
      <c r="B68" s="97" t="s">
        <v>1545</v>
      </c>
      <c r="C68" s="98"/>
      <c r="D68" s="98"/>
      <c r="E68" s="98"/>
      <c r="F68" s="98" t="s">
        <v>1546</v>
      </c>
      <c r="G68" s="102">
        <f>28.28-3.13</f>
        <v>25.150000000000002</v>
      </c>
      <c r="I68" s="91"/>
    </row>
    <row r="69" spans="1:9" s="16" customFormat="1" ht="13.5" customHeight="1">
      <c r="A69" s="97">
        <v>24</v>
      </c>
      <c r="B69" s="97" t="s">
        <v>1538</v>
      </c>
      <c r="C69" s="98"/>
      <c r="D69" s="98"/>
      <c r="E69" s="98"/>
      <c r="F69" s="98" t="s">
        <v>1547</v>
      </c>
      <c r="G69" s="102">
        <v>1.5</v>
      </c>
      <c r="I69" s="91"/>
    </row>
    <row r="70" spans="1:9" s="16" customFormat="1" ht="13.5" customHeight="1">
      <c r="A70" s="97">
        <v>25</v>
      </c>
      <c r="B70" s="97">
        <v>45</v>
      </c>
      <c r="C70" s="98"/>
      <c r="D70" s="98"/>
      <c r="E70" s="98"/>
      <c r="F70" s="98" t="s">
        <v>1548</v>
      </c>
      <c r="G70" s="102">
        <f>2.16+4.21-4.2</f>
        <v>2.17</v>
      </c>
      <c r="I70" s="91"/>
    </row>
    <row r="71" spans="1:9" s="16" customFormat="1" ht="13.5" customHeight="1">
      <c r="A71" s="97">
        <v>25</v>
      </c>
      <c r="B71" s="97" t="s">
        <v>1341</v>
      </c>
      <c r="C71" s="98"/>
      <c r="D71" s="98"/>
      <c r="E71" s="98"/>
      <c r="F71" s="98" t="s">
        <v>1527</v>
      </c>
      <c r="G71" s="102">
        <v>15.912</v>
      </c>
      <c r="I71" s="91"/>
    </row>
    <row r="72" spans="1:9" s="16" customFormat="1" ht="13.5" customHeight="1">
      <c r="A72" s="97">
        <v>28</v>
      </c>
      <c r="B72" s="97" t="s">
        <v>1549</v>
      </c>
      <c r="C72" s="98"/>
      <c r="D72" s="98"/>
      <c r="E72" s="98"/>
      <c r="F72" s="98" t="s">
        <v>1550</v>
      </c>
      <c r="G72" s="102">
        <v>1.68</v>
      </c>
      <c r="I72" s="91"/>
    </row>
    <row r="73" spans="1:9" s="16" customFormat="1" ht="13.5" customHeight="1">
      <c r="A73" s="97">
        <v>30</v>
      </c>
      <c r="B73" s="97">
        <v>45</v>
      </c>
      <c r="C73" s="98"/>
      <c r="D73" s="98"/>
      <c r="E73" s="98"/>
      <c r="F73" s="98" t="s">
        <v>1551</v>
      </c>
      <c r="G73" s="102">
        <f>6.7-1.09-2.225+9.02-0.715-0.8+2.1-1.46-2.26-2.1-2.24</f>
        <v>4.929999999999998</v>
      </c>
      <c r="I73" s="91"/>
    </row>
    <row r="74" spans="1:9" s="16" customFormat="1" ht="13.5" customHeight="1">
      <c r="A74" s="97">
        <v>30</v>
      </c>
      <c r="B74" s="97">
        <v>45</v>
      </c>
      <c r="C74" s="98"/>
      <c r="D74" s="98"/>
      <c r="E74" s="98"/>
      <c r="F74" s="98" t="s">
        <v>1552</v>
      </c>
      <c r="G74" s="102">
        <f>25.6-1.68-1.65</f>
        <v>22.270000000000003</v>
      </c>
      <c r="I74" s="91"/>
    </row>
    <row r="75" spans="1:9" s="16" customFormat="1" ht="13.5" customHeight="1">
      <c r="A75" s="97">
        <v>30</v>
      </c>
      <c r="B75" s="97" t="s">
        <v>1275</v>
      </c>
      <c r="C75" s="98"/>
      <c r="D75" s="98"/>
      <c r="E75" s="98"/>
      <c r="F75" s="98" t="s">
        <v>1553</v>
      </c>
      <c r="G75" s="102">
        <f>5.88-1.66</f>
        <v>4.22</v>
      </c>
      <c r="I75" s="91"/>
    </row>
    <row r="76" spans="1:9" s="16" customFormat="1" ht="13.5" customHeight="1">
      <c r="A76" s="97">
        <v>30</v>
      </c>
      <c r="B76" s="97" t="s">
        <v>1516</v>
      </c>
      <c r="C76" s="98"/>
      <c r="D76" s="98"/>
      <c r="E76" s="98"/>
      <c r="F76" s="98" t="s">
        <v>1554</v>
      </c>
      <c r="G76" s="102">
        <f>1.6-0.61</f>
        <v>0.9900000000000001</v>
      </c>
      <c r="I76" s="91"/>
    </row>
    <row r="77" spans="1:9" s="16" customFormat="1" ht="13.5" customHeight="1">
      <c r="A77" s="97">
        <v>30</v>
      </c>
      <c r="B77" s="97" t="s">
        <v>1516</v>
      </c>
      <c r="C77" s="98"/>
      <c r="D77" s="98"/>
      <c r="E77" s="98"/>
      <c r="F77" s="98" t="s">
        <v>1555</v>
      </c>
      <c r="G77" s="102">
        <f>2.235-0.84</f>
        <v>1.395</v>
      </c>
      <c r="I77" s="91"/>
    </row>
    <row r="78" spans="1:9" s="16" customFormat="1" ht="13.5" customHeight="1">
      <c r="A78" s="97">
        <v>30</v>
      </c>
      <c r="B78" s="97" t="s">
        <v>1549</v>
      </c>
      <c r="C78" s="98"/>
      <c r="D78" s="98"/>
      <c r="E78" s="98"/>
      <c r="F78" s="98" t="s">
        <v>1556</v>
      </c>
      <c r="G78" s="102">
        <v>1.64</v>
      </c>
      <c r="I78" s="91"/>
    </row>
    <row r="79" spans="1:9" s="16" customFormat="1" ht="13.5" customHeight="1">
      <c r="A79" s="97">
        <v>30</v>
      </c>
      <c r="B79" s="97" t="s">
        <v>1549</v>
      </c>
      <c r="C79" s="98"/>
      <c r="D79" s="98"/>
      <c r="E79" s="98"/>
      <c r="F79" s="98" t="s">
        <v>1557</v>
      </c>
      <c r="G79" s="102">
        <v>1.09</v>
      </c>
      <c r="I79" s="91"/>
    </row>
    <row r="80" spans="1:9" s="16" customFormat="1" ht="13.5" customHeight="1">
      <c r="A80" s="97">
        <v>32</v>
      </c>
      <c r="B80" s="97">
        <v>3</v>
      </c>
      <c r="C80" s="98"/>
      <c r="D80" s="98"/>
      <c r="E80" s="98"/>
      <c r="F80" s="98" t="s">
        <v>1558</v>
      </c>
      <c r="G80" s="102">
        <v>9.45</v>
      </c>
      <c r="I80" s="91"/>
    </row>
    <row r="81" spans="1:9" s="16" customFormat="1" ht="13.5" customHeight="1">
      <c r="A81" s="97">
        <v>36</v>
      </c>
      <c r="B81" s="97">
        <v>10</v>
      </c>
      <c r="C81" s="98"/>
      <c r="D81" s="98"/>
      <c r="E81" s="98"/>
      <c r="F81" s="98" t="s">
        <v>1559</v>
      </c>
      <c r="G81" s="102">
        <v>2.01</v>
      </c>
      <c r="I81" s="91"/>
    </row>
    <row r="82" spans="1:9" s="16" customFormat="1" ht="13.5" customHeight="1">
      <c r="A82" s="97">
        <v>36</v>
      </c>
      <c r="B82" s="97" t="s">
        <v>1472</v>
      </c>
      <c r="C82" s="98"/>
      <c r="D82" s="98"/>
      <c r="E82" s="98"/>
      <c r="F82" s="98" t="s">
        <v>1560</v>
      </c>
      <c r="G82" s="102">
        <v>2.42</v>
      </c>
      <c r="I82" s="91"/>
    </row>
    <row r="83" spans="1:9" s="16" customFormat="1" ht="13.5" customHeight="1">
      <c r="A83" s="97">
        <v>40</v>
      </c>
      <c r="B83" s="97">
        <v>20</v>
      </c>
      <c r="C83" s="98"/>
      <c r="D83" s="98"/>
      <c r="E83" s="98"/>
      <c r="F83" s="98" t="s">
        <v>1561</v>
      </c>
      <c r="G83" s="102">
        <v>2.48</v>
      </c>
      <c r="I83" s="91"/>
    </row>
    <row r="84" spans="1:9" s="16" customFormat="1" ht="13.5" customHeight="1">
      <c r="A84" s="97">
        <v>40</v>
      </c>
      <c r="B84" s="97">
        <v>45</v>
      </c>
      <c r="C84" s="98"/>
      <c r="D84" s="98"/>
      <c r="E84" s="98"/>
      <c r="F84" s="98" t="s">
        <v>1562</v>
      </c>
      <c r="G84" s="102">
        <f>2.18+17.66-1.59+9.05-1.64-2.76-1.6-2.76-1.6+4.23+2.14-1.64-1.545-2.27</f>
        <v>17.855</v>
      </c>
      <c r="I84" s="91"/>
    </row>
    <row r="85" spans="1:9" s="16" customFormat="1" ht="13.5" customHeight="1">
      <c r="A85" s="97">
        <v>40</v>
      </c>
      <c r="B85" s="97" t="s">
        <v>1275</v>
      </c>
      <c r="C85" s="98"/>
      <c r="D85" s="98"/>
      <c r="E85" s="98"/>
      <c r="F85" s="98" t="s">
        <v>1563</v>
      </c>
      <c r="G85" s="102">
        <f>6.34-2.12+6.45</f>
        <v>10.67</v>
      </c>
      <c r="I85" s="91"/>
    </row>
    <row r="86" spans="1:9" s="16" customFormat="1" ht="13.5" customHeight="1">
      <c r="A86" s="97">
        <v>50</v>
      </c>
      <c r="B86" s="97" t="s">
        <v>1564</v>
      </c>
      <c r="C86" s="98"/>
      <c r="D86" s="98"/>
      <c r="E86" s="98"/>
      <c r="F86" s="98" t="s">
        <v>1565</v>
      </c>
      <c r="G86" s="102">
        <v>5.9</v>
      </c>
      <c r="I86" s="91"/>
    </row>
    <row r="87" spans="1:9" s="16" customFormat="1" ht="13.5" customHeight="1">
      <c r="A87" s="97">
        <v>50</v>
      </c>
      <c r="B87" s="97">
        <v>45</v>
      </c>
      <c r="C87" s="98"/>
      <c r="D87" s="98"/>
      <c r="E87" s="98"/>
      <c r="F87" s="98" t="s">
        <v>1566</v>
      </c>
      <c r="G87" s="102">
        <v>5</v>
      </c>
      <c r="I87" s="91"/>
    </row>
    <row r="88" spans="1:9" s="16" customFormat="1" ht="13.5" customHeight="1">
      <c r="A88" s="97">
        <v>50</v>
      </c>
      <c r="B88" s="97">
        <v>45</v>
      </c>
      <c r="C88" s="98"/>
      <c r="D88" s="98"/>
      <c r="E88" s="98"/>
      <c r="F88" s="98" t="s">
        <v>1567</v>
      </c>
      <c r="G88" s="102">
        <v>4.4</v>
      </c>
      <c r="I88" s="91"/>
    </row>
    <row r="89" spans="1:9" s="16" customFormat="1" ht="13.5" customHeight="1">
      <c r="A89" s="97">
        <v>50</v>
      </c>
      <c r="B89" s="97">
        <v>45</v>
      </c>
      <c r="C89" s="98"/>
      <c r="D89" s="98"/>
      <c r="E89" s="98"/>
      <c r="F89" s="98" t="s">
        <v>1568</v>
      </c>
      <c r="G89" s="102">
        <f>7.16+1.67+1.25+2.56-2.29-1.67-1.625-1.28-0.5-0.62</f>
        <v>4.655000000000001</v>
      </c>
      <c r="I89" s="91"/>
    </row>
    <row r="90" spans="1:9" s="16" customFormat="1" ht="13.5" customHeight="1">
      <c r="A90" s="97">
        <v>50</v>
      </c>
      <c r="B90" s="97" t="s">
        <v>1275</v>
      </c>
      <c r="C90" s="98"/>
      <c r="D90" s="98"/>
      <c r="E90" s="98"/>
      <c r="F90" s="98" t="s">
        <v>1569</v>
      </c>
      <c r="G90" s="102">
        <f>1.28+6.42+4.3-1.28-2.13-2.14</f>
        <v>6.449999999999999</v>
      </c>
      <c r="I90" s="91"/>
    </row>
    <row r="91" spans="1:9" s="16" customFormat="1" ht="13.5" customHeight="1">
      <c r="A91" s="97">
        <v>50</v>
      </c>
      <c r="B91" s="97" t="s">
        <v>1341</v>
      </c>
      <c r="C91" s="98"/>
      <c r="D91" s="98"/>
      <c r="E91" s="98"/>
      <c r="F91" s="98" t="s">
        <v>1570</v>
      </c>
      <c r="G91" s="102">
        <f>4.63+4.76+4.535+5.05+5.26+4.56+4.415+5.33+4.64+4.62+5.2+5.12-5.2-5.26-5.12+3.57</f>
        <v>46.11</v>
      </c>
      <c r="I91" s="91"/>
    </row>
    <row r="92" spans="1:9" s="16" customFormat="1" ht="13.5" customHeight="1">
      <c r="A92" s="97">
        <v>50</v>
      </c>
      <c r="B92" s="97" t="s">
        <v>1571</v>
      </c>
      <c r="C92" s="98"/>
      <c r="D92" s="98"/>
      <c r="E92" s="98"/>
      <c r="F92" s="98" t="s">
        <v>1572</v>
      </c>
      <c r="G92" s="102">
        <v>6.24</v>
      </c>
      <c r="I92" s="91"/>
    </row>
    <row r="93" spans="1:9" s="16" customFormat="1" ht="13.5" customHeight="1">
      <c r="A93" s="97">
        <v>60</v>
      </c>
      <c r="B93" s="97">
        <v>3</v>
      </c>
      <c r="C93" s="98"/>
      <c r="D93" s="98"/>
      <c r="E93" s="98"/>
      <c r="F93" s="98" t="s">
        <v>1573</v>
      </c>
      <c r="G93" s="102">
        <v>0.17</v>
      </c>
      <c r="I93" s="91"/>
    </row>
    <row r="94" spans="1:9" s="16" customFormat="1" ht="13.5" customHeight="1">
      <c r="A94" s="97">
        <v>60</v>
      </c>
      <c r="B94" s="97">
        <v>3</v>
      </c>
      <c r="C94" s="98"/>
      <c r="D94" s="98"/>
      <c r="E94" s="98"/>
      <c r="F94" s="98" t="s">
        <v>1574</v>
      </c>
      <c r="G94" s="102">
        <v>3.43</v>
      </c>
      <c r="I94" s="91"/>
    </row>
    <row r="95" spans="1:9" s="16" customFormat="1" ht="13.5" customHeight="1">
      <c r="A95" s="97">
        <v>60</v>
      </c>
      <c r="B95" s="97">
        <v>35</v>
      </c>
      <c r="C95" s="98"/>
      <c r="D95" s="98"/>
      <c r="E95" s="98"/>
      <c r="F95" s="98" t="s">
        <v>1575</v>
      </c>
      <c r="G95" s="102">
        <v>0.105</v>
      </c>
      <c r="I95" s="91"/>
    </row>
    <row r="96" spans="1:9" s="16" customFormat="1" ht="13.5" customHeight="1">
      <c r="A96" s="97">
        <v>60</v>
      </c>
      <c r="B96" s="97">
        <v>45</v>
      </c>
      <c r="C96" s="98"/>
      <c r="D96" s="98"/>
      <c r="E96" s="98"/>
      <c r="F96" s="98" t="s">
        <v>1576</v>
      </c>
      <c r="G96" s="102">
        <f>4.08-1.33+1.3-1.37+1.31+2.45+1.15+2.31-2.46-1.3-1.3+3.4-1.3-1.24</f>
        <v>5.7</v>
      </c>
      <c r="I96" s="91"/>
    </row>
    <row r="97" spans="1:9" s="16" customFormat="1" ht="13.5" customHeight="1">
      <c r="A97" s="97">
        <v>60</v>
      </c>
      <c r="B97" s="97" t="s">
        <v>1275</v>
      </c>
      <c r="C97" s="98"/>
      <c r="D97" s="98"/>
      <c r="E97" s="98"/>
      <c r="F97" s="98" t="s">
        <v>1577</v>
      </c>
      <c r="G97" s="102">
        <f>2.7+3.94-1.355+3.99-1.35-1.3</f>
        <v>6.625000000000001</v>
      </c>
      <c r="I97" s="91"/>
    </row>
    <row r="98" spans="1:9" s="16" customFormat="1" ht="13.5" customHeight="1">
      <c r="A98" s="97">
        <v>70</v>
      </c>
      <c r="B98" s="97">
        <v>20</v>
      </c>
      <c r="C98" s="98"/>
      <c r="D98" s="98"/>
      <c r="E98" s="98"/>
      <c r="F98" s="98" t="s">
        <v>1578</v>
      </c>
      <c r="G98" s="102">
        <v>7.2</v>
      </c>
      <c r="I98" s="91"/>
    </row>
    <row r="99" spans="1:9" s="16" customFormat="1" ht="13.5" customHeight="1">
      <c r="A99" s="97">
        <v>70</v>
      </c>
      <c r="B99" s="97">
        <v>45</v>
      </c>
      <c r="C99" s="98"/>
      <c r="D99" s="98"/>
      <c r="E99" s="98"/>
      <c r="F99" s="98" t="s">
        <v>1642</v>
      </c>
      <c r="G99" s="102">
        <f>10.05+1.65-1.65+1.57-1.57</f>
        <v>10.05</v>
      </c>
      <c r="I99" s="91"/>
    </row>
    <row r="100" spans="1:9" s="16" customFormat="1" ht="13.5" customHeight="1">
      <c r="A100" s="97">
        <v>70</v>
      </c>
      <c r="B100" s="97" t="s">
        <v>1275</v>
      </c>
      <c r="C100" s="98"/>
      <c r="D100" s="98"/>
      <c r="E100" s="98"/>
      <c r="F100" s="98" t="s">
        <v>1579</v>
      </c>
      <c r="G100" s="102">
        <f>5.55-1.3+1.645+1.62-1.31+1.64+3.28+1.68-1.645-1.32</f>
        <v>9.84</v>
      </c>
      <c r="I100" s="91"/>
    </row>
    <row r="101" spans="1:9" s="16" customFormat="1" ht="13.5" customHeight="1">
      <c r="A101" s="97">
        <v>70</v>
      </c>
      <c r="B101" s="97">
        <v>65</v>
      </c>
      <c r="C101" s="98"/>
      <c r="D101" s="98"/>
      <c r="E101" s="98"/>
      <c r="F101" s="98" t="s">
        <v>1580</v>
      </c>
      <c r="G101" s="102">
        <v>2.035</v>
      </c>
      <c r="I101" s="91"/>
    </row>
    <row r="102" spans="1:9" s="16" customFormat="1" ht="13.5" customHeight="1">
      <c r="A102" s="97" t="s">
        <v>1581</v>
      </c>
      <c r="B102" s="97">
        <v>3</v>
      </c>
      <c r="C102" s="98"/>
      <c r="D102" s="98"/>
      <c r="E102" s="98"/>
      <c r="F102" s="98" t="s">
        <v>1582</v>
      </c>
      <c r="G102" s="102">
        <v>11.84</v>
      </c>
      <c r="I102" s="91"/>
    </row>
    <row r="103" spans="1:9" s="16" customFormat="1" ht="13.5" customHeight="1">
      <c r="A103" s="97">
        <v>75</v>
      </c>
      <c r="B103" s="97" t="s">
        <v>1583</v>
      </c>
      <c r="C103" s="98"/>
      <c r="D103" s="98"/>
      <c r="E103" s="98"/>
      <c r="F103" s="98" t="s">
        <v>1584</v>
      </c>
      <c r="G103" s="102">
        <v>0.255</v>
      </c>
      <c r="I103" s="91"/>
    </row>
    <row r="104" spans="1:9" s="16" customFormat="1" ht="13.5" customHeight="1">
      <c r="A104" s="97">
        <v>75</v>
      </c>
      <c r="B104" s="97" t="s">
        <v>1585</v>
      </c>
      <c r="C104" s="98"/>
      <c r="D104" s="98"/>
      <c r="E104" s="98"/>
      <c r="F104" s="98" t="s">
        <v>1586</v>
      </c>
      <c r="G104" s="102">
        <v>1.275</v>
      </c>
      <c r="I104" s="91"/>
    </row>
    <row r="105" spans="1:9" s="16" customFormat="1" ht="13.5" customHeight="1">
      <c r="A105" s="97">
        <v>80</v>
      </c>
      <c r="B105" s="97" t="s">
        <v>1587</v>
      </c>
      <c r="C105" s="98"/>
      <c r="D105" s="98"/>
      <c r="E105" s="98"/>
      <c r="F105" s="98" t="s">
        <v>1588</v>
      </c>
      <c r="G105" s="102">
        <v>6.46</v>
      </c>
      <c r="I105" s="91"/>
    </row>
    <row r="106" spans="1:9" s="16" customFormat="1" ht="13.5" customHeight="1">
      <c r="A106" s="97">
        <v>80</v>
      </c>
      <c r="B106" s="97">
        <v>45</v>
      </c>
      <c r="C106" s="98"/>
      <c r="D106" s="98"/>
      <c r="E106" s="98"/>
      <c r="F106" s="98" t="s">
        <v>1643</v>
      </c>
      <c r="G106" s="102">
        <v>11.63</v>
      </c>
      <c r="I106" s="91"/>
    </row>
    <row r="107" spans="1:9" s="16" customFormat="1" ht="13.5" customHeight="1">
      <c r="A107" s="97">
        <v>80</v>
      </c>
      <c r="B107" s="97" t="s">
        <v>1275</v>
      </c>
      <c r="C107" s="98"/>
      <c r="D107" s="98"/>
      <c r="E107" s="98"/>
      <c r="F107" s="98" t="s">
        <v>1589</v>
      </c>
      <c r="G107" s="102">
        <f>1.69+3.32+1.3-1.69+1.65-1.65-1.3+3.32-1.66+2.67-1.65</f>
        <v>5.999999999999998</v>
      </c>
      <c r="I107" s="91"/>
    </row>
    <row r="108" spans="1:9" s="16" customFormat="1" ht="13.5" customHeight="1">
      <c r="A108" s="97">
        <v>80</v>
      </c>
      <c r="B108" s="97" t="s">
        <v>1341</v>
      </c>
      <c r="C108" s="98"/>
      <c r="D108" s="98"/>
      <c r="E108" s="98"/>
      <c r="F108" s="98" t="s">
        <v>1590</v>
      </c>
      <c r="G108" s="102">
        <v>4.62</v>
      </c>
      <c r="I108" s="91"/>
    </row>
    <row r="109" spans="1:9" s="16" customFormat="1" ht="13.5" customHeight="1">
      <c r="A109" s="97">
        <v>80</v>
      </c>
      <c r="B109" s="97" t="s">
        <v>1341</v>
      </c>
      <c r="C109" s="98"/>
      <c r="D109" s="98"/>
      <c r="E109" s="98"/>
      <c r="F109" s="98" t="s">
        <v>1591</v>
      </c>
      <c r="G109" s="102">
        <v>4.6</v>
      </c>
      <c r="I109" s="91"/>
    </row>
    <row r="110" spans="1:9" s="16" customFormat="1" ht="13.5" customHeight="1">
      <c r="A110" s="97" t="s">
        <v>1592</v>
      </c>
      <c r="B110" s="97" t="s">
        <v>1593</v>
      </c>
      <c r="C110" s="98"/>
      <c r="D110" s="98"/>
      <c r="E110" s="98"/>
      <c r="F110" s="98" t="s">
        <v>1594</v>
      </c>
      <c r="G110" s="102">
        <v>1.99</v>
      </c>
      <c r="I110" s="91"/>
    </row>
    <row r="111" spans="1:9" s="16" customFormat="1" ht="13.5" customHeight="1">
      <c r="A111" s="97">
        <v>85</v>
      </c>
      <c r="B111" s="97" t="s">
        <v>1595</v>
      </c>
      <c r="C111" s="98"/>
      <c r="D111" s="98"/>
      <c r="E111" s="98"/>
      <c r="F111" s="98" t="s">
        <v>1596</v>
      </c>
      <c r="G111" s="102">
        <v>0.315</v>
      </c>
      <c r="I111" s="91"/>
    </row>
    <row r="112" spans="1:9" s="16" customFormat="1" ht="13.5" customHeight="1">
      <c r="A112" s="97">
        <v>90</v>
      </c>
      <c r="B112" s="97">
        <v>35</v>
      </c>
      <c r="C112" s="98"/>
      <c r="D112" s="98"/>
      <c r="E112" s="98"/>
      <c r="F112" s="98" t="s">
        <v>1597</v>
      </c>
      <c r="G112" s="102">
        <v>2.985</v>
      </c>
      <c r="I112" s="91"/>
    </row>
    <row r="113" spans="1:9" s="16" customFormat="1" ht="13.5" customHeight="1">
      <c r="A113" s="97">
        <v>90</v>
      </c>
      <c r="B113" s="97">
        <v>45</v>
      </c>
      <c r="C113" s="98"/>
      <c r="D113" s="98"/>
      <c r="E113" s="98"/>
      <c r="F113" s="98" t="s">
        <v>1643</v>
      </c>
      <c r="G113" s="102">
        <v>7.89</v>
      </c>
      <c r="I113" s="91"/>
    </row>
    <row r="114" spans="1:9" s="16" customFormat="1" ht="13.5" customHeight="1">
      <c r="A114" s="97">
        <v>90</v>
      </c>
      <c r="B114" s="97" t="s">
        <v>1275</v>
      </c>
      <c r="C114" s="98"/>
      <c r="D114" s="98"/>
      <c r="E114" s="98"/>
      <c r="F114" s="98" t="s">
        <v>1598</v>
      </c>
      <c r="G114" s="102">
        <v>4.83</v>
      </c>
      <c r="I114" s="91"/>
    </row>
    <row r="115" spans="1:9" s="16" customFormat="1" ht="13.5" customHeight="1">
      <c r="A115" s="97">
        <v>100</v>
      </c>
      <c r="B115" s="97">
        <v>35</v>
      </c>
      <c r="C115" s="98"/>
      <c r="D115" s="98"/>
      <c r="E115" s="98"/>
      <c r="F115" s="98" t="s">
        <v>1599</v>
      </c>
      <c r="G115" s="102">
        <v>0.39</v>
      </c>
      <c r="I115" s="91"/>
    </row>
    <row r="116" spans="1:9" s="16" customFormat="1" ht="13.5" customHeight="1">
      <c r="A116" s="97">
        <v>100</v>
      </c>
      <c r="B116" s="97">
        <v>45</v>
      </c>
      <c r="C116" s="98"/>
      <c r="D116" s="98"/>
      <c r="E116" s="98"/>
      <c r="F116" s="98" t="s">
        <v>1643</v>
      </c>
      <c r="G116" s="102">
        <v>12.4</v>
      </c>
      <c r="I116" s="91"/>
    </row>
    <row r="117" spans="1:9" s="16" customFormat="1" ht="13.5" customHeight="1">
      <c r="A117" s="97">
        <v>100</v>
      </c>
      <c r="B117" s="97">
        <v>45</v>
      </c>
      <c r="C117" s="98"/>
      <c r="D117" s="98"/>
      <c r="E117" s="98"/>
      <c r="F117" s="98" t="s">
        <v>1600</v>
      </c>
      <c r="G117" s="102">
        <v>8.33</v>
      </c>
      <c r="I117" s="91"/>
    </row>
    <row r="118" spans="1:9" s="16" customFormat="1" ht="13.5" customHeight="1">
      <c r="A118" s="97">
        <v>100</v>
      </c>
      <c r="B118" s="97" t="s">
        <v>1275</v>
      </c>
      <c r="C118" s="98"/>
      <c r="D118" s="98"/>
      <c r="E118" s="98"/>
      <c r="F118" s="98" t="s">
        <v>1601</v>
      </c>
      <c r="G118" s="102">
        <v>0.4</v>
      </c>
      <c r="I118" s="91"/>
    </row>
    <row r="119" spans="1:9" s="16" customFormat="1" ht="13.5" customHeight="1">
      <c r="A119" s="97">
        <v>100</v>
      </c>
      <c r="B119" s="97" t="s">
        <v>1275</v>
      </c>
      <c r="C119" s="98"/>
      <c r="D119" s="98"/>
      <c r="E119" s="98"/>
      <c r="F119" s="98" t="s">
        <v>1602</v>
      </c>
      <c r="G119" s="102">
        <f>3.26-1.67+1.79+1.67+1.66+4.94-3.3-1.645-1.67-1.66</f>
        <v>3.3750000000000018</v>
      </c>
      <c r="I119" s="91"/>
    </row>
    <row r="120" spans="1:9" s="16" customFormat="1" ht="13.5" customHeight="1">
      <c r="A120" s="97">
        <v>110</v>
      </c>
      <c r="B120" s="97">
        <v>20</v>
      </c>
      <c r="C120" s="98"/>
      <c r="D120" s="98"/>
      <c r="E120" s="98"/>
      <c r="F120" s="98" t="s">
        <v>1644</v>
      </c>
      <c r="G120" s="102">
        <v>0.425</v>
      </c>
      <c r="I120" s="91"/>
    </row>
    <row r="121" spans="1:9" s="16" customFormat="1" ht="14.25" customHeight="1">
      <c r="A121" s="97">
        <v>115</v>
      </c>
      <c r="B121" s="97">
        <v>45</v>
      </c>
      <c r="C121" s="98"/>
      <c r="D121" s="98"/>
      <c r="E121" s="98"/>
      <c r="F121" s="98" t="s">
        <v>1603</v>
      </c>
      <c r="G121" s="102">
        <v>6</v>
      </c>
      <c r="I121" s="91"/>
    </row>
    <row r="122" spans="1:9" s="16" customFormat="1" ht="13.5" customHeight="1">
      <c r="A122" s="97">
        <v>115</v>
      </c>
      <c r="B122" s="97" t="s">
        <v>258</v>
      </c>
      <c r="C122" s="98"/>
      <c r="D122" s="98"/>
      <c r="E122" s="98"/>
      <c r="F122" s="98" t="s">
        <v>1604</v>
      </c>
      <c r="G122" s="102">
        <v>10.09</v>
      </c>
      <c r="I122" s="91"/>
    </row>
    <row r="123" spans="1:9" s="16" customFormat="1" ht="13.5" customHeight="1">
      <c r="A123" s="97">
        <v>120</v>
      </c>
      <c r="B123" s="97">
        <v>3</v>
      </c>
      <c r="C123" s="98"/>
      <c r="D123" s="98"/>
      <c r="E123" s="98"/>
      <c r="F123" s="98" t="s">
        <v>1605</v>
      </c>
      <c r="G123" s="102">
        <v>0.5</v>
      </c>
      <c r="I123" s="91"/>
    </row>
    <row r="124" spans="1:9" s="16" customFormat="1" ht="13.5" customHeight="1">
      <c r="A124" s="97">
        <v>120</v>
      </c>
      <c r="B124" s="97">
        <v>45</v>
      </c>
      <c r="C124" s="98"/>
      <c r="D124" s="98"/>
      <c r="E124" s="98"/>
      <c r="F124" s="98" t="s">
        <v>1644</v>
      </c>
      <c r="G124" s="102">
        <f>44.465+2.12-2.14-2.13-2.1-2.07-2.09-2.1-2.08-2.14-2.09-2.07-4.12-2.08-4.23</f>
        <v>15.144999999999992</v>
      </c>
      <c r="I124" s="91"/>
    </row>
    <row r="125" spans="1:9" s="16" customFormat="1" ht="13.5" customHeight="1">
      <c r="A125" s="97">
        <v>120</v>
      </c>
      <c r="B125" s="97" t="s">
        <v>1275</v>
      </c>
      <c r="C125" s="98"/>
      <c r="D125" s="98"/>
      <c r="E125" s="98"/>
      <c r="F125" s="98" t="s">
        <v>1606</v>
      </c>
      <c r="G125" s="102">
        <f>4.95+11.54-1.64-3.31-1.64-1.65</f>
        <v>8.249999999999996</v>
      </c>
      <c r="I125" s="91"/>
    </row>
    <row r="126" spans="1:9" s="16" customFormat="1" ht="13.5" customHeight="1">
      <c r="A126" s="97">
        <v>120</v>
      </c>
      <c r="B126" s="97" t="s">
        <v>1341</v>
      </c>
      <c r="C126" s="98"/>
      <c r="D126" s="98"/>
      <c r="E126" s="98"/>
      <c r="F126" s="98" t="s">
        <v>1607</v>
      </c>
      <c r="G126" s="102">
        <f>8.25+7.8</f>
        <v>16.05</v>
      </c>
      <c r="I126" s="91"/>
    </row>
    <row r="127" spans="1:9" s="16" customFormat="1" ht="13.5" customHeight="1">
      <c r="A127" s="97">
        <v>125</v>
      </c>
      <c r="B127" s="97">
        <v>45</v>
      </c>
      <c r="C127" s="98"/>
      <c r="D127" s="98"/>
      <c r="E127" s="98"/>
      <c r="F127" s="98" t="s">
        <v>1608</v>
      </c>
      <c r="G127" s="102">
        <v>0.385</v>
      </c>
      <c r="I127" s="91"/>
    </row>
    <row r="128" spans="1:9" s="16" customFormat="1" ht="13.5" customHeight="1">
      <c r="A128" s="97" t="s">
        <v>1609</v>
      </c>
      <c r="B128" s="97">
        <v>3</v>
      </c>
      <c r="C128" s="98"/>
      <c r="D128" s="98"/>
      <c r="E128" s="98"/>
      <c r="F128" s="98" t="s">
        <v>1610</v>
      </c>
      <c r="G128" s="102">
        <v>3.47</v>
      </c>
      <c r="I128" s="91"/>
    </row>
    <row r="129" spans="1:9" s="16" customFormat="1" ht="13.5" customHeight="1">
      <c r="A129" s="97">
        <v>130</v>
      </c>
      <c r="B129" s="97">
        <v>45</v>
      </c>
      <c r="C129" s="98"/>
      <c r="D129" s="98"/>
      <c r="E129" s="98"/>
      <c r="F129" s="98" t="s">
        <v>1611</v>
      </c>
      <c r="G129" s="102">
        <v>6.67</v>
      </c>
      <c r="I129" s="91"/>
    </row>
    <row r="130" spans="1:9" s="16" customFormat="1" ht="13.5" customHeight="1">
      <c r="A130" s="97">
        <v>130</v>
      </c>
      <c r="B130" s="97" t="s">
        <v>1275</v>
      </c>
      <c r="C130" s="98"/>
      <c r="D130" s="98"/>
      <c r="E130" s="98"/>
      <c r="F130" s="98" t="s">
        <v>1612</v>
      </c>
      <c r="G130" s="102">
        <f>1.66+4.98+8.54</f>
        <v>15.18</v>
      </c>
      <c r="I130" s="91"/>
    </row>
    <row r="131" spans="1:9" s="16" customFormat="1" ht="13.5" customHeight="1">
      <c r="A131" s="97">
        <v>135</v>
      </c>
      <c r="B131" s="97" t="s">
        <v>1275</v>
      </c>
      <c r="C131" s="98"/>
      <c r="D131" s="98"/>
      <c r="E131" s="98"/>
      <c r="F131" s="98" t="s">
        <v>1613</v>
      </c>
      <c r="G131" s="102">
        <v>2.16</v>
      </c>
      <c r="I131" s="91"/>
    </row>
    <row r="132" spans="1:9" s="16" customFormat="1" ht="13.5" customHeight="1">
      <c r="A132" s="97">
        <v>140</v>
      </c>
      <c r="B132" s="97" t="s">
        <v>1614</v>
      </c>
      <c r="C132" s="98"/>
      <c r="D132" s="98"/>
      <c r="E132" s="98"/>
      <c r="F132" s="98" t="s">
        <v>1615</v>
      </c>
      <c r="G132" s="102">
        <v>1.75</v>
      </c>
      <c r="I132" s="91"/>
    </row>
    <row r="133" spans="1:9" s="16" customFormat="1" ht="13.5" customHeight="1">
      <c r="A133" s="97">
        <v>140</v>
      </c>
      <c r="B133" s="97">
        <v>45</v>
      </c>
      <c r="C133" s="98"/>
      <c r="D133" s="98"/>
      <c r="E133" s="98"/>
      <c r="F133" s="98" t="s">
        <v>1616</v>
      </c>
      <c r="G133" s="102">
        <f>4.2+3.68+3.71+4.12+1.625+21.245-2.1-1.63-1.84-1.835-1.85-4.16-4.21-1.85-4.27-2.1</f>
        <v>12.734999999999987</v>
      </c>
      <c r="I133" s="91"/>
    </row>
    <row r="134" spans="1:9" s="16" customFormat="1" ht="13.5" customHeight="1">
      <c r="A134" s="97">
        <v>140</v>
      </c>
      <c r="B134" s="97" t="s">
        <v>1275</v>
      </c>
      <c r="C134" s="98"/>
      <c r="D134" s="98"/>
      <c r="E134" s="98"/>
      <c r="F134" s="98" t="s">
        <v>1617</v>
      </c>
      <c r="G134" s="102">
        <f>1.62+6.68+10.82+9.86-2.17</f>
        <v>26.810000000000002</v>
      </c>
      <c r="I134" s="91"/>
    </row>
    <row r="135" spans="1:9" s="16" customFormat="1" ht="13.5" customHeight="1">
      <c r="A135" s="97">
        <v>150</v>
      </c>
      <c r="B135" s="97">
        <v>45</v>
      </c>
      <c r="C135" s="98"/>
      <c r="D135" s="98"/>
      <c r="E135" s="98"/>
      <c r="F135" s="98" t="s">
        <v>1618</v>
      </c>
      <c r="G135" s="102">
        <v>0.36</v>
      </c>
      <c r="I135" s="91"/>
    </row>
    <row r="136" spans="1:9" s="16" customFormat="1" ht="13.5" customHeight="1">
      <c r="A136" s="97">
        <v>150</v>
      </c>
      <c r="B136" s="97" t="s">
        <v>1341</v>
      </c>
      <c r="C136" s="98"/>
      <c r="D136" s="98"/>
      <c r="E136" s="98"/>
      <c r="F136" s="98" t="s">
        <v>1619</v>
      </c>
      <c r="G136" s="102">
        <f>3.88+5.5</f>
        <v>9.379999999999999</v>
      </c>
      <c r="I136" s="91"/>
    </row>
    <row r="137" spans="1:9" s="16" customFormat="1" ht="13.5" customHeight="1">
      <c r="A137" s="97">
        <v>160</v>
      </c>
      <c r="B137" s="97">
        <v>35</v>
      </c>
      <c r="C137" s="98"/>
      <c r="D137" s="98"/>
      <c r="E137" s="98"/>
      <c r="F137" s="98" t="s">
        <v>1620</v>
      </c>
      <c r="G137" s="102">
        <v>0.52</v>
      </c>
      <c r="I137" s="91"/>
    </row>
    <row r="138" spans="1:9" s="16" customFormat="1" ht="13.5" customHeight="1">
      <c r="A138" s="97">
        <v>170</v>
      </c>
      <c r="B138" s="97">
        <v>20</v>
      </c>
      <c r="C138" s="98"/>
      <c r="D138" s="98"/>
      <c r="E138" s="98"/>
      <c r="F138" s="98" t="s">
        <v>1621</v>
      </c>
      <c r="G138" s="102">
        <v>2.76</v>
      </c>
      <c r="I138" s="91"/>
    </row>
    <row r="139" spans="1:9" s="16" customFormat="1" ht="13.5" customHeight="1">
      <c r="A139" s="97">
        <v>170</v>
      </c>
      <c r="B139" s="97">
        <v>20</v>
      </c>
      <c r="C139" s="98"/>
      <c r="D139" s="98"/>
      <c r="E139" s="98"/>
      <c r="F139" s="98" t="s">
        <v>1622</v>
      </c>
      <c r="G139" s="102">
        <v>2.1</v>
      </c>
      <c r="I139" s="91"/>
    </row>
    <row r="140" spans="1:9" s="16" customFormat="1" ht="13.5" customHeight="1">
      <c r="A140" s="97">
        <v>170</v>
      </c>
      <c r="B140" s="97">
        <v>20</v>
      </c>
      <c r="C140" s="98"/>
      <c r="D140" s="98"/>
      <c r="E140" s="98"/>
      <c r="F140" s="98" t="s">
        <v>1623</v>
      </c>
      <c r="G140" s="102">
        <v>0.89</v>
      </c>
      <c r="I140" s="91"/>
    </row>
    <row r="141" spans="1:9" s="16" customFormat="1" ht="13.5" customHeight="1">
      <c r="A141" s="97">
        <v>170</v>
      </c>
      <c r="B141" s="97">
        <v>45</v>
      </c>
      <c r="C141" s="98"/>
      <c r="D141" s="98"/>
      <c r="E141" s="98"/>
      <c r="F141" s="98" t="s">
        <v>1624</v>
      </c>
      <c r="G141" s="102">
        <v>1.31</v>
      </c>
      <c r="I141" s="91"/>
    </row>
    <row r="142" spans="1:9" s="16" customFormat="1" ht="13.5" customHeight="1">
      <c r="A142" s="97">
        <v>170</v>
      </c>
      <c r="B142" s="97" t="s">
        <v>1625</v>
      </c>
      <c r="C142" s="98"/>
      <c r="D142" s="98"/>
      <c r="E142" s="98"/>
      <c r="F142" s="98" t="s">
        <v>1626</v>
      </c>
      <c r="G142" s="102">
        <v>0.775</v>
      </c>
      <c r="I142" s="91"/>
    </row>
    <row r="143" spans="1:9" s="16" customFormat="1" ht="13.5" customHeight="1">
      <c r="A143" s="97">
        <v>180</v>
      </c>
      <c r="B143" s="97">
        <v>45</v>
      </c>
      <c r="C143" s="98"/>
      <c r="D143" s="98"/>
      <c r="E143" s="98"/>
      <c r="F143" s="98" t="s">
        <v>1627</v>
      </c>
      <c r="G143" s="102">
        <v>1.23</v>
      </c>
      <c r="I143" s="91"/>
    </row>
    <row r="144" spans="1:9" s="16" customFormat="1" ht="13.5" customHeight="1">
      <c r="A144" s="97">
        <v>180</v>
      </c>
      <c r="B144" s="97" t="s">
        <v>1628</v>
      </c>
      <c r="C144" s="98"/>
      <c r="D144" s="98"/>
      <c r="E144" s="98"/>
      <c r="F144" s="98" t="s">
        <v>1629</v>
      </c>
      <c r="G144" s="102">
        <v>1.14</v>
      </c>
      <c r="I144" s="91"/>
    </row>
    <row r="145" spans="1:9" s="16" customFormat="1" ht="13.5" customHeight="1">
      <c r="A145" s="97">
        <v>230</v>
      </c>
      <c r="B145" s="97">
        <v>20</v>
      </c>
      <c r="C145" s="98"/>
      <c r="D145" s="98"/>
      <c r="E145" s="98"/>
      <c r="F145" s="98" t="s">
        <v>1630</v>
      </c>
      <c r="G145" s="102">
        <v>2.27</v>
      </c>
      <c r="I145" s="91"/>
    </row>
    <row r="146" spans="1:9" s="16" customFormat="1" ht="13.5" customHeight="1">
      <c r="A146" s="97">
        <v>230</v>
      </c>
      <c r="B146" s="97" t="s">
        <v>1341</v>
      </c>
      <c r="C146" s="98"/>
      <c r="D146" s="98"/>
      <c r="E146" s="98"/>
      <c r="F146" s="98" t="s">
        <v>1631</v>
      </c>
      <c r="G146" s="102">
        <v>1.63</v>
      </c>
      <c r="I146" s="91"/>
    </row>
    <row r="147" spans="1:9" s="16" customFormat="1" ht="13.5" customHeight="1">
      <c r="A147" s="97">
        <v>240</v>
      </c>
      <c r="B147" s="97">
        <v>35</v>
      </c>
      <c r="C147" s="98"/>
      <c r="D147" s="98"/>
      <c r="E147" s="98"/>
      <c r="F147" s="98" t="s">
        <v>1632</v>
      </c>
      <c r="G147" s="102">
        <v>1.21</v>
      </c>
      <c r="I147" s="91"/>
    </row>
    <row r="148" spans="1:9" s="16" customFormat="1" ht="13.5" customHeight="1">
      <c r="A148" s="97">
        <v>260</v>
      </c>
      <c r="B148" s="97">
        <v>45</v>
      </c>
      <c r="C148" s="98"/>
      <c r="D148" s="98"/>
      <c r="E148" s="98"/>
      <c r="F148" s="98" t="s">
        <v>1633</v>
      </c>
      <c r="G148" s="102">
        <v>1.5</v>
      </c>
      <c r="I148" s="91"/>
    </row>
    <row r="149" spans="1:9" s="16" customFormat="1" ht="13.5" customHeight="1">
      <c r="A149" s="97">
        <v>270</v>
      </c>
      <c r="B149" s="97">
        <v>35</v>
      </c>
      <c r="C149" s="98"/>
      <c r="D149" s="98"/>
      <c r="E149" s="98"/>
      <c r="F149" s="98" t="s">
        <v>1634</v>
      </c>
      <c r="G149" s="102">
        <v>1.37</v>
      </c>
      <c r="I149" s="91"/>
    </row>
    <row r="150" spans="1:9" s="16" customFormat="1" ht="13.5" customHeight="1">
      <c r="A150" s="97">
        <v>300</v>
      </c>
      <c r="B150" s="97">
        <v>20</v>
      </c>
      <c r="C150" s="98"/>
      <c r="D150" s="98"/>
      <c r="E150" s="98"/>
      <c r="F150" s="98" t="s">
        <v>1635</v>
      </c>
      <c r="G150" s="102">
        <v>0.79</v>
      </c>
      <c r="I150" s="91"/>
    </row>
    <row r="151" spans="1:9" s="16" customFormat="1" ht="13.5" customHeight="1">
      <c r="A151" s="97" t="s">
        <v>1636</v>
      </c>
      <c r="B151" s="97">
        <v>20</v>
      </c>
      <c r="C151" s="98"/>
      <c r="D151" s="98"/>
      <c r="E151" s="98"/>
      <c r="F151" s="98" t="s">
        <v>1637</v>
      </c>
      <c r="G151" s="102">
        <v>1.865</v>
      </c>
      <c r="I151" s="91"/>
    </row>
    <row r="152" spans="1:9" s="16" customFormat="1" ht="13.5" customHeight="1">
      <c r="A152" s="97">
        <v>300</v>
      </c>
      <c r="B152" s="97">
        <v>45</v>
      </c>
      <c r="C152" s="98"/>
      <c r="D152" s="98"/>
      <c r="E152" s="98"/>
      <c r="F152" s="98" t="s">
        <v>1638</v>
      </c>
      <c r="G152" s="102">
        <v>1.935</v>
      </c>
      <c r="I152" s="91"/>
    </row>
    <row r="153" spans="1:9" s="16" customFormat="1" ht="13.5" customHeight="1">
      <c r="A153" s="97" t="s">
        <v>1639</v>
      </c>
      <c r="B153" s="97" t="s">
        <v>1640</v>
      </c>
      <c r="C153" s="98"/>
      <c r="D153" s="98"/>
      <c r="E153" s="98"/>
      <c r="F153" s="98" t="s">
        <v>1641</v>
      </c>
      <c r="G153" s="102">
        <f>4.05</f>
        <v>4.05</v>
      </c>
      <c r="I153" s="91"/>
    </row>
  </sheetData>
  <mergeCells count="3">
    <mergeCell ref="D1:G2"/>
    <mergeCell ref="A3:G3"/>
    <mergeCell ref="A4:G4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78"/>
  <sheetViews>
    <sheetView zoomScale="130" zoomScaleNormal="130" zoomScalePageLayoutView="0" workbookViewId="0" topLeftCell="A1">
      <selection activeCell="D1" sqref="D1:G2"/>
    </sheetView>
  </sheetViews>
  <sheetFormatPr defaultColWidth="9.140625" defaultRowHeight="12.75"/>
  <cols>
    <col min="1" max="1" width="1.421875" style="0" customWidth="1"/>
    <col min="2" max="2" width="4.7109375" style="0" customWidth="1"/>
    <col min="3" max="3" width="22.8515625" style="0" customWidth="1"/>
    <col min="4" max="4" width="9.421875" style="0" customWidth="1"/>
    <col min="5" max="5" width="12.421875" style="0" customWidth="1"/>
    <col min="6" max="6" width="22.57421875" style="0" customWidth="1"/>
    <col min="7" max="7" width="11.8515625" style="0" customWidth="1"/>
    <col min="8" max="8" width="11.421875" style="22" customWidth="1"/>
  </cols>
  <sheetData>
    <row r="1" spans="2:7" ht="11.25" customHeight="1">
      <c r="B1" s="11"/>
      <c r="C1" s="11"/>
      <c r="D1" s="156"/>
      <c r="E1" s="156"/>
      <c r="F1" s="156"/>
      <c r="G1" s="156"/>
    </row>
    <row r="2" spans="3:7" ht="27" customHeight="1">
      <c r="C2" s="10"/>
      <c r="D2" s="156"/>
      <c r="E2" s="156"/>
      <c r="F2" s="156"/>
      <c r="G2" s="156"/>
    </row>
    <row r="3" spans="1:8" ht="9.75" customHeight="1">
      <c r="A3" s="157" t="s">
        <v>334</v>
      </c>
      <c r="B3" s="157"/>
      <c r="C3" s="157"/>
      <c r="D3" s="157"/>
      <c r="E3" s="157"/>
      <c r="F3" s="157"/>
      <c r="G3" s="157"/>
      <c r="H3" s="14"/>
    </row>
    <row r="4" spans="1:8" ht="9.75" customHeight="1">
      <c r="A4" s="157" t="s">
        <v>335</v>
      </c>
      <c r="B4" s="157"/>
      <c r="C4" s="157"/>
      <c r="D4" s="157"/>
      <c r="E4" s="157"/>
      <c r="F4" s="157"/>
      <c r="G4" s="157"/>
      <c r="H4" s="12"/>
    </row>
    <row r="5" spans="1:7" ht="9.75" customHeight="1" thickBot="1">
      <c r="A5" s="157"/>
      <c r="B5" s="157"/>
      <c r="C5" s="157"/>
      <c r="D5" s="157"/>
      <c r="E5" s="157"/>
      <c r="F5" s="157"/>
      <c r="G5" s="157"/>
    </row>
    <row r="6" spans="2:8" s="31" customFormat="1" ht="13.5" customHeight="1" thickBot="1">
      <c r="B6" s="32"/>
      <c r="C6" s="33"/>
      <c r="D6" s="33"/>
      <c r="E6" s="34"/>
      <c r="F6" s="35" t="s">
        <v>338</v>
      </c>
      <c r="G6" s="36"/>
      <c r="H6" s="37"/>
    </row>
    <row r="7" spans="2:8" s="31" customFormat="1" ht="11.25" customHeight="1">
      <c r="B7" s="38"/>
      <c r="C7" s="33"/>
      <c r="D7" s="39"/>
      <c r="E7" s="34"/>
      <c r="F7" s="36" t="s">
        <v>119</v>
      </c>
      <c r="G7" s="40"/>
      <c r="H7" s="37"/>
    </row>
    <row r="8" spans="2:8" s="41" customFormat="1" ht="9" customHeight="1">
      <c r="B8" s="42" t="s">
        <v>41</v>
      </c>
      <c r="C8" s="43" t="s">
        <v>3</v>
      </c>
      <c r="D8" s="44" t="s">
        <v>39</v>
      </c>
      <c r="E8" s="45" t="s">
        <v>36</v>
      </c>
      <c r="F8" s="46" t="s">
        <v>6</v>
      </c>
      <c r="G8" s="46" t="s">
        <v>1</v>
      </c>
      <c r="H8" s="47" t="s">
        <v>12</v>
      </c>
    </row>
    <row r="9" spans="2:8" s="16" customFormat="1" ht="9.75" customHeight="1">
      <c r="B9" s="15">
        <v>1</v>
      </c>
      <c r="C9" s="67" t="s">
        <v>46</v>
      </c>
      <c r="D9" s="67" t="s">
        <v>43</v>
      </c>
      <c r="E9" s="57" t="s">
        <v>5</v>
      </c>
      <c r="F9" s="57" t="s">
        <v>8</v>
      </c>
      <c r="G9" s="57">
        <v>24500</v>
      </c>
      <c r="H9" s="23"/>
    </row>
    <row r="10" spans="2:8" s="20" customFormat="1" ht="9.75" customHeight="1">
      <c r="B10" s="15">
        <f aca="true" t="shared" si="0" ref="B10:B20">B9+1</f>
        <v>2</v>
      </c>
      <c r="C10" s="67" t="s">
        <v>278</v>
      </c>
      <c r="D10" s="68" t="s">
        <v>44</v>
      </c>
      <c r="E10" s="58" t="s">
        <v>37</v>
      </c>
      <c r="F10" s="57" t="s">
        <v>8</v>
      </c>
      <c r="G10" s="57">
        <v>29000</v>
      </c>
      <c r="H10" s="21"/>
    </row>
    <row r="11" spans="2:8" s="20" customFormat="1" ht="9.75" customHeight="1">
      <c r="B11" s="15">
        <f t="shared" si="0"/>
        <v>3</v>
      </c>
      <c r="C11" s="67" t="s">
        <v>303</v>
      </c>
      <c r="D11" s="67" t="s">
        <v>43</v>
      </c>
      <c r="E11" s="58" t="s">
        <v>37</v>
      </c>
      <c r="F11" s="57" t="s">
        <v>8</v>
      </c>
      <c r="G11" s="57">
        <v>29000</v>
      </c>
      <c r="H11" s="21"/>
    </row>
    <row r="12" spans="2:8" s="20" customFormat="1" ht="9.75" customHeight="1">
      <c r="B12" s="15">
        <f t="shared" si="0"/>
        <v>4</v>
      </c>
      <c r="C12" s="67" t="s">
        <v>173</v>
      </c>
      <c r="D12" s="67" t="s">
        <v>43</v>
      </c>
      <c r="E12" s="58" t="s">
        <v>37</v>
      </c>
      <c r="F12" s="57" t="s">
        <v>8</v>
      </c>
      <c r="G12" s="57">
        <v>29000</v>
      </c>
      <c r="H12" s="21"/>
    </row>
    <row r="13" spans="2:8" s="20" customFormat="1" ht="9.75" customHeight="1">
      <c r="B13" s="15">
        <f t="shared" si="0"/>
        <v>5</v>
      </c>
      <c r="C13" s="67" t="s">
        <v>174</v>
      </c>
      <c r="D13" s="67" t="s">
        <v>43</v>
      </c>
      <c r="E13" s="58" t="s">
        <v>37</v>
      </c>
      <c r="F13" s="57" t="s">
        <v>8</v>
      </c>
      <c r="G13" s="57">
        <v>29000</v>
      </c>
      <c r="H13" s="21"/>
    </row>
    <row r="14" spans="2:7" ht="9.75" customHeight="1">
      <c r="B14" s="15">
        <f t="shared" si="0"/>
        <v>6</v>
      </c>
      <c r="C14" s="67" t="s">
        <v>106</v>
      </c>
      <c r="D14" s="67" t="s">
        <v>44</v>
      </c>
      <c r="E14" s="58" t="s">
        <v>37</v>
      </c>
      <c r="F14" s="57" t="s">
        <v>8</v>
      </c>
      <c r="G14" s="57">
        <v>29000</v>
      </c>
    </row>
    <row r="15" spans="2:7" s="20" customFormat="1" ht="9.75" customHeight="1">
      <c r="B15" s="15">
        <f t="shared" si="0"/>
        <v>7</v>
      </c>
      <c r="C15" s="67" t="s">
        <v>160</v>
      </c>
      <c r="D15" s="67" t="s">
        <v>43</v>
      </c>
      <c r="E15" s="58" t="s">
        <v>37</v>
      </c>
      <c r="F15" s="57" t="s">
        <v>8</v>
      </c>
      <c r="G15" s="57">
        <v>28000</v>
      </c>
    </row>
    <row r="16" spans="2:8" ht="9.75" customHeight="1">
      <c r="B16" s="15">
        <f t="shared" si="0"/>
        <v>8</v>
      </c>
      <c r="C16" s="67" t="s">
        <v>319</v>
      </c>
      <c r="D16" s="67" t="s">
        <v>44</v>
      </c>
      <c r="E16" s="137" t="s">
        <v>37</v>
      </c>
      <c r="F16" s="66" t="s">
        <v>8</v>
      </c>
      <c r="G16" s="57">
        <v>28000</v>
      </c>
      <c r="H16" s="22" t="s">
        <v>12</v>
      </c>
    </row>
    <row r="17" spans="2:8" s="16" customFormat="1" ht="9.75" customHeight="1">
      <c r="B17" s="15">
        <f t="shared" si="0"/>
        <v>9</v>
      </c>
      <c r="C17" s="67" t="s">
        <v>114</v>
      </c>
      <c r="D17" s="67" t="s">
        <v>44</v>
      </c>
      <c r="E17" s="58" t="s">
        <v>37</v>
      </c>
      <c r="F17" s="57" t="s">
        <v>8</v>
      </c>
      <c r="G17" s="57">
        <v>24000</v>
      </c>
      <c r="H17" s="23"/>
    </row>
    <row r="18" spans="2:8" s="16" customFormat="1" ht="9.75" customHeight="1">
      <c r="B18" s="15">
        <f t="shared" si="0"/>
        <v>10</v>
      </c>
      <c r="C18" s="67" t="s">
        <v>63</v>
      </c>
      <c r="D18" s="67" t="s">
        <v>44</v>
      </c>
      <c r="E18" s="58" t="s">
        <v>37</v>
      </c>
      <c r="F18" s="57" t="s">
        <v>8</v>
      </c>
      <c r="G18" s="57">
        <v>24000</v>
      </c>
      <c r="H18" s="23"/>
    </row>
    <row r="19" spans="2:8" s="16" customFormat="1" ht="9.75" customHeight="1">
      <c r="B19" s="15">
        <f t="shared" si="0"/>
        <v>11</v>
      </c>
      <c r="C19" s="57" t="s">
        <v>21</v>
      </c>
      <c r="D19" s="67" t="s">
        <v>90</v>
      </c>
      <c r="E19" s="58" t="s">
        <v>37</v>
      </c>
      <c r="F19" s="57" t="s">
        <v>22</v>
      </c>
      <c r="G19" s="57">
        <v>24000</v>
      </c>
      <c r="H19" s="23"/>
    </row>
    <row r="20" spans="2:8" s="16" customFormat="1" ht="9.75" customHeight="1" thickBot="1">
      <c r="B20" s="15">
        <f t="shared" si="0"/>
        <v>12</v>
      </c>
      <c r="C20" s="140" t="s">
        <v>321</v>
      </c>
      <c r="D20" s="138" t="s">
        <v>90</v>
      </c>
      <c r="E20" s="139" t="s">
        <v>37</v>
      </c>
      <c r="F20" s="71" t="s">
        <v>24</v>
      </c>
      <c r="G20" s="140">
        <v>25500</v>
      </c>
      <c r="H20" s="23"/>
    </row>
    <row r="21" spans="1:7" ht="9.75" customHeight="1" thickBot="1">
      <c r="A21" s="1"/>
      <c r="B21" s="6"/>
      <c r="C21" s="4"/>
      <c r="D21" s="4"/>
      <c r="E21" s="4"/>
      <c r="F21" s="4"/>
      <c r="G21" s="9"/>
    </row>
    <row r="22" spans="2:8" s="31" customFormat="1" ht="11.25" customHeight="1">
      <c r="B22" s="38"/>
      <c r="C22" s="33"/>
      <c r="D22" s="33"/>
      <c r="E22" s="48"/>
      <c r="F22" s="36" t="s">
        <v>118</v>
      </c>
      <c r="G22" s="36"/>
      <c r="H22" s="37"/>
    </row>
    <row r="23" spans="2:8" s="41" customFormat="1" ht="9" customHeight="1">
      <c r="B23" s="42" t="s">
        <v>41</v>
      </c>
      <c r="C23" s="45" t="s">
        <v>3</v>
      </c>
      <c r="D23" s="44" t="s">
        <v>39</v>
      </c>
      <c r="E23" s="46" t="s">
        <v>36</v>
      </c>
      <c r="F23" s="46" t="s">
        <v>6</v>
      </c>
      <c r="G23" s="46" t="s">
        <v>1</v>
      </c>
      <c r="H23" s="49"/>
    </row>
    <row r="24" spans="2:8" ht="9.75" customHeight="1">
      <c r="B24" s="15">
        <v>13</v>
      </c>
      <c r="C24" s="145" t="s">
        <v>322</v>
      </c>
      <c r="D24" s="67" t="s">
        <v>43</v>
      </c>
      <c r="E24" s="141" t="s">
        <v>38</v>
      </c>
      <c r="F24" s="142" t="s">
        <v>23</v>
      </c>
      <c r="G24" s="143">
        <v>24000</v>
      </c>
      <c r="H24" s="24"/>
    </row>
    <row r="25" spans="2:8" ht="9.75" customHeight="1">
      <c r="B25" s="15">
        <f aca="true" t="shared" si="1" ref="B25:B32">B24+1</f>
        <v>14</v>
      </c>
      <c r="C25" s="145" t="s">
        <v>103</v>
      </c>
      <c r="D25" s="67" t="s">
        <v>44</v>
      </c>
      <c r="E25" s="141" t="s">
        <v>38</v>
      </c>
      <c r="F25" s="142" t="s">
        <v>23</v>
      </c>
      <c r="G25" s="143">
        <v>27500</v>
      </c>
      <c r="H25" s="24"/>
    </row>
    <row r="26" spans="2:8" ht="9.75" customHeight="1">
      <c r="B26" s="15">
        <f t="shared" si="1"/>
        <v>15</v>
      </c>
      <c r="C26" s="67" t="s">
        <v>82</v>
      </c>
      <c r="D26" s="67" t="s">
        <v>43</v>
      </c>
      <c r="E26" s="58" t="s">
        <v>38</v>
      </c>
      <c r="F26" s="57" t="s">
        <v>83</v>
      </c>
      <c r="G26" s="57">
        <v>22500</v>
      </c>
      <c r="H26" s="24"/>
    </row>
    <row r="27" spans="2:7" ht="9.75" customHeight="1">
      <c r="B27" s="15">
        <f t="shared" si="1"/>
        <v>16</v>
      </c>
      <c r="C27" s="67" t="s">
        <v>291</v>
      </c>
      <c r="D27" s="67" t="s">
        <v>43</v>
      </c>
      <c r="E27" s="58" t="s">
        <v>38</v>
      </c>
      <c r="F27" s="57" t="s">
        <v>24</v>
      </c>
      <c r="G27" s="57">
        <v>24000</v>
      </c>
    </row>
    <row r="28" spans="2:7" ht="9.75" customHeight="1">
      <c r="B28" s="15">
        <f t="shared" si="1"/>
        <v>17</v>
      </c>
      <c r="C28" s="67" t="s">
        <v>275</v>
      </c>
      <c r="D28" s="67" t="s">
        <v>43</v>
      </c>
      <c r="E28" s="58" t="s">
        <v>38</v>
      </c>
      <c r="F28" s="57" t="s">
        <v>24</v>
      </c>
      <c r="G28" s="57">
        <v>26500</v>
      </c>
    </row>
    <row r="29" spans="2:7" ht="9.75" customHeight="1">
      <c r="B29" s="15">
        <f t="shared" si="1"/>
        <v>18</v>
      </c>
      <c r="C29" s="67" t="s">
        <v>304</v>
      </c>
      <c r="D29" s="67" t="s">
        <v>43</v>
      </c>
      <c r="E29" s="58" t="s">
        <v>38</v>
      </c>
      <c r="F29" s="57" t="s">
        <v>24</v>
      </c>
      <c r="G29" s="57">
        <v>20000</v>
      </c>
    </row>
    <row r="30" spans="2:7" ht="9.75" customHeight="1">
      <c r="B30" s="15">
        <f t="shared" si="1"/>
        <v>19</v>
      </c>
      <c r="C30" s="67" t="s">
        <v>48</v>
      </c>
      <c r="D30" s="67" t="s">
        <v>43</v>
      </c>
      <c r="E30" s="58" t="s">
        <v>38</v>
      </c>
      <c r="F30" s="57" t="s">
        <v>24</v>
      </c>
      <c r="G30" s="57">
        <v>20000</v>
      </c>
    </row>
    <row r="31" spans="2:7" ht="9.75" customHeight="1">
      <c r="B31" s="15">
        <f t="shared" si="1"/>
        <v>20</v>
      </c>
      <c r="C31" s="67" t="s">
        <v>155</v>
      </c>
      <c r="D31" s="67" t="s">
        <v>44</v>
      </c>
      <c r="E31" s="58" t="s">
        <v>38</v>
      </c>
      <c r="F31" s="57" t="s">
        <v>24</v>
      </c>
      <c r="G31" s="57">
        <v>27000</v>
      </c>
    </row>
    <row r="32" spans="2:7" ht="9.75" customHeight="1">
      <c r="B32" s="15">
        <f t="shared" si="1"/>
        <v>21</v>
      </c>
      <c r="C32" s="67" t="s">
        <v>106</v>
      </c>
      <c r="D32" s="67" t="s">
        <v>44</v>
      </c>
      <c r="E32" s="58" t="s">
        <v>38</v>
      </c>
      <c r="F32" s="57" t="s">
        <v>24</v>
      </c>
      <c r="G32" s="57">
        <v>26500</v>
      </c>
    </row>
    <row r="33" spans="2:8" s="5" customFormat="1" ht="9.75" customHeight="1">
      <c r="B33" s="15">
        <f aca="true" t="shared" si="2" ref="B33:B46">B32+1</f>
        <v>22</v>
      </c>
      <c r="C33" s="67" t="s">
        <v>106</v>
      </c>
      <c r="D33" s="67" t="s">
        <v>44</v>
      </c>
      <c r="E33" s="58" t="s">
        <v>38</v>
      </c>
      <c r="F33" s="57" t="s">
        <v>24</v>
      </c>
      <c r="G33" s="57">
        <v>26000</v>
      </c>
      <c r="H33" s="22"/>
    </row>
    <row r="34" spans="2:7" ht="9.75" customHeight="1">
      <c r="B34" s="15">
        <f t="shared" si="2"/>
        <v>23</v>
      </c>
      <c r="C34" s="67" t="s">
        <v>302</v>
      </c>
      <c r="D34" s="67" t="s">
        <v>43</v>
      </c>
      <c r="E34" s="58" t="s">
        <v>38</v>
      </c>
      <c r="F34" s="57" t="s">
        <v>8</v>
      </c>
      <c r="G34" s="57">
        <v>25500</v>
      </c>
    </row>
    <row r="35" spans="2:7" ht="9.75" customHeight="1">
      <c r="B35" s="15">
        <f t="shared" si="2"/>
        <v>24</v>
      </c>
      <c r="C35" s="67" t="s">
        <v>105</v>
      </c>
      <c r="D35" s="67" t="s">
        <v>44</v>
      </c>
      <c r="E35" s="58" t="s">
        <v>38</v>
      </c>
      <c r="F35" s="57" t="s">
        <v>24</v>
      </c>
      <c r="G35" s="57">
        <v>24500</v>
      </c>
    </row>
    <row r="36" spans="2:8" s="5" customFormat="1" ht="9.75" customHeight="1">
      <c r="B36" s="15">
        <f t="shared" si="2"/>
        <v>25</v>
      </c>
      <c r="C36" s="67" t="s">
        <v>236</v>
      </c>
      <c r="D36" s="67" t="s">
        <v>44</v>
      </c>
      <c r="E36" s="58" t="s">
        <v>38</v>
      </c>
      <c r="F36" s="57"/>
      <c r="G36" s="57">
        <v>26500</v>
      </c>
      <c r="H36" s="22"/>
    </row>
    <row r="37" spans="2:7" ht="9.75" customHeight="1">
      <c r="B37" s="15">
        <f t="shared" si="2"/>
        <v>26</v>
      </c>
      <c r="C37" s="67" t="s">
        <v>276</v>
      </c>
      <c r="D37" s="67" t="s">
        <v>44</v>
      </c>
      <c r="E37" s="58" t="s">
        <v>38</v>
      </c>
      <c r="F37" s="57" t="s">
        <v>24</v>
      </c>
      <c r="G37" s="57">
        <v>25000</v>
      </c>
    </row>
    <row r="38" spans="2:7" ht="9.75" customHeight="1">
      <c r="B38" s="15">
        <f t="shared" si="2"/>
        <v>27</v>
      </c>
      <c r="C38" s="67" t="s">
        <v>93</v>
      </c>
      <c r="D38" s="67" t="s">
        <v>43</v>
      </c>
      <c r="E38" s="58" t="s">
        <v>38</v>
      </c>
      <c r="F38" s="57" t="s">
        <v>8</v>
      </c>
      <c r="G38" s="57">
        <v>26500</v>
      </c>
    </row>
    <row r="39" spans="2:7" ht="9.75" customHeight="1">
      <c r="B39" s="15">
        <f t="shared" si="2"/>
        <v>28</v>
      </c>
      <c r="C39" s="67" t="s">
        <v>161</v>
      </c>
      <c r="D39" s="67" t="s">
        <v>43</v>
      </c>
      <c r="E39" s="58" t="s">
        <v>38</v>
      </c>
      <c r="F39" s="57" t="s">
        <v>24</v>
      </c>
      <c r="G39" s="57">
        <v>26500</v>
      </c>
    </row>
    <row r="40" spans="2:7" ht="9.75" customHeight="1">
      <c r="B40" s="15">
        <f t="shared" si="2"/>
        <v>29</v>
      </c>
      <c r="C40" s="67" t="s">
        <v>237</v>
      </c>
      <c r="D40" s="67" t="s">
        <v>44</v>
      </c>
      <c r="E40" s="58" t="s">
        <v>38</v>
      </c>
      <c r="F40" s="57" t="s">
        <v>15</v>
      </c>
      <c r="G40" s="57">
        <v>25500</v>
      </c>
    </row>
    <row r="41" spans="2:7" ht="9.75" customHeight="1">
      <c r="B41" s="15">
        <f t="shared" si="2"/>
        <v>30</v>
      </c>
      <c r="C41" s="67" t="s">
        <v>108</v>
      </c>
      <c r="D41" s="67" t="s">
        <v>44</v>
      </c>
      <c r="E41" s="58" t="s">
        <v>38</v>
      </c>
      <c r="F41" s="57" t="s">
        <v>15</v>
      </c>
      <c r="G41" s="57">
        <v>25500</v>
      </c>
    </row>
    <row r="42" spans="2:8" s="27" customFormat="1" ht="9.75" customHeight="1">
      <c r="B42" s="15">
        <f t="shared" si="2"/>
        <v>31</v>
      </c>
      <c r="C42" s="67" t="s">
        <v>108</v>
      </c>
      <c r="D42" s="67" t="s">
        <v>44</v>
      </c>
      <c r="E42" s="57" t="s">
        <v>38</v>
      </c>
      <c r="F42" s="57" t="s">
        <v>15</v>
      </c>
      <c r="G42" s="57">
        <v>25500</v>
      </c>
      <c r="H42" s="26"/>
    </row>
    <row r="43" spans="2:7" ht="9.75" customHeight="1">
      <c r="B43" s="15">
        <f t="shared" si="2"/>
        <v>32</v>
      </c>
      <c r="C43" s="67" t="s">
        <v>194</v>
      </c>
      <c r="D43" s="67" t="s">
        <v>45</v>
      </c>
      <c r="E43" s="58" t="s">
        <v>38</v>
      </c>
      <c r="F43" s="57" t="s">
        <v>15</v>
      </c>
      <c r="G43" s="57">
        <v>25500</v>
      </c>
    </row>
    <row r="44" spans="2:7" ht="9.75" customHeight="1">
      <c r="B44" s="15">
        <f t="shared" si="2"/>
        <v>33</v>
      </c>
      <c r="C44" s="67" t="s">
        <v>52</v>
      </c>
      <c r="D44" s="67" t="s">
        <v>44</v>
      </c>
      <c r="E44" s="57" t="s">
        <v>38</v>
      </c>
      <c r="F44" s="57" t="s">
        <v>10</v>
      </c>
      <c r="G44" s="57">
        <v>24000</v>
      </c>
    </row>
    <row r="45" spans="2:7" ht="9.75" customHeight="1">
      <c r="B45" s="15">
        <f t="shared" si="2"/>
        <v>34</v>
      </c>
      <c r="C45" s="67" t="s">
        <v>47</v>
      </c>
      <c r="D45" s="67" t="s">
        <v>44</v>
      </c>
      <c r="E45" s="58" t="s">
        <v>38</v>
      </c>
      <c r="F45" s="57" t="s">
        <v>8</v>
      </c>
      <c r="G45" s="57">
        <v>31500</v>
      </c>
    </row>
    <row r="46" spans="2:7" ht="9.75" customHeight="1">
      <c r="B46" s="15">
        <f t="shared" si="2"/>
        <v>35</v>
      </c>
      <c r="C46" s="67" t="s">
        <v>81</v>
      </c>
      <c r="D46" s="67" t="s">
        <v>44</v>
      </c>
      <c r="E46" s="58" t="s">
        <v>38</v>
      </c>
      <c r="F46" s="57" t="s">
        <v>15</v>
      </c>
      <c r="G46" s="57">
        <v>18000</v>
      </c>
    </row>
    <row r="47" spans="2:7" ht="9.75" customHeight="1">
      <c r="B47" s="15">
        <f aca="true" t="shared" si="3" ref="B47:B56">B46+1</f>
        <v>36</v>
      </c>
      <c r="C47" s="67" t="s">
        <v>63</v>
      </c>
      <c r="D47" s="67" t="s">
        <v>45</v>
      </c>
      <c r="E47" s="58" t="s">
        <v>38</v>
      </c>
      <c r="F47" s="57" t="s">
        <v>15</v>
      </c>
      <c r="G47" s="57">
        <v>18000</v>
      </c>
    </row>
    <row r="48" spans="2:7" ht="9.75" customHeight="1">
      <c r="B48" s="15">
        <f t="shared" si="3"/>
        <v>37</v>
      </c>
      <c r="C48" s="67" t="s">
        <v>54</v>
      </c>
      <c r="D48" s="67" t="s">
        <v>45</v>
      </c>
      <c r="E48" s="58" t="s">
        <v>38</v>
      </c>
      <c r="F48" s="57" t="s">
        <v>15</v>
      </c>
      <c r="G48" s="57">
        <v>18000</v>
      </c>
    </row>
    <row r="49" spans="2:7" ht="9.75" customHeight="1">
      <c r="B49" s="15">
        <f t="shared" si="3"/>
        <v>38</v>
      </c>
      <c r="C49" s="67" t="s">
        <v>54</v>
      </c>
      <c r="D49" s="67" t="s">
        <v>44</v>
      </c>
      <c r="E49" s="58" t="s">
        <v>38</v>
      </c>
      <c r="F49" s="57" t="s">
        <v>15</v>
      </c>
      <c r="G49" s="57">
        <v>20500</v>
      </c>
    </row>
    <row r="50" spans="2:8" s="27" customFormat="1" ht="9.75" customHeight="1">
      <c r="B50" s="15">
        <f t="shared" si="3"/>
        <v>39</v>
      </c>
      <c r="C50" s="67" t="s">
        <v>172</v>
      </c>
      <c r="D50" s="67" t="s">
        <v>44</v>
      </c>
      <c r="E50" s="57" t="s">
        <v>38</v>
      </c>
      <c r="F50" s="57" t="s">
        <v>15</v>
      </c>
      <c r="G50" s="57">
        <v>25500</v>
      </c>
      <c r="H50" s="26"/>
    </row>
    <row r="51" spans="2:7" ht="9.75" customHeight="1">
      <c r="B51" s="15">
        <f t="shared" si="3"/>
        <v>40</v>
      </c>
      <c r="C51" s="67" t="s">
        <v>55</v>
      </c>
      <c r="D51" s="67" t="s">
        <v>59</v>
      </c>
      <c r="E51" s="58" t="s">
        <v>38</v>
      </c>
      <c r="F51" s="57" t="s">
        <v>15</v>
      </c>
      <c r="G51" s="57">
        <v>23500</v>
      </c>
    </row>
    <row r="52" spans="2:7" ht="9.75" customHeight="1">
      <c r="B52" s="15">
        <f t="shared" si="3"/>
        <v>41</v>
      </c>
      <c r="C52" s="67" t="s">
        <v>55</v>
      </c>
      <c r="D52" s="67" t="s">
        <v>59</v>
      </c>
      <c r="E52" s="58" t="s">
        <v>38</v>
      </c>
      <c r="F52" s="57" t="s">
        <v>15</v>
      </c>
      <c r="G52" s="57">
        <v>23500</v>
      </c>
    </row>
    <row r="53" spans="2:8" s="5" customFormat="1" ht="9.75" customHeight="1">
      <c r="B53" s="15">
        <f t="shared" si="3"/>
        <v>42</v>
      </c>
      <c r="C53" s="67" t="s">
        <v>55</v>
      </c>
      <c r="D53" s="67" t="s">
        <v>44</v>
      </c>
      <c r="E53" s="58" t="s">
        <v>38</v>
      </c>
      <c r="F53" s="57" t="s">
        <v>15</v>
      </c>
      <c r="G53" s="57">
        <v>25500</v>
      </c>
      <c r="H53" s="22"/>
    </row>
    <row r="54" spans="2:7" ht="9.75" customHeight="1">
      <c r="B54" s="15">
        <f t="shared" si="3"/>
        <v>43</v>
      </c>
      <c r="C54" s="146" t="s">
        <v>89</v>
      </c>
      <c r="D54" s="57" t="s">
        <v>90</v>
      </c>
      <c r="E54" s="58" t="s">
        <v>38</v>
      </c>
      <c r="F54" s="57" t="s">
        <v>8</v>
      </c>
      <c r="G54" s="57">
        <v>24000</v>
      </c>
    </row>
    <row r="55" spans="2:7" ht="9.75" customHeight="1">
      <c r="B55" s="15">
        <f t="shared" si="3"/>
        <v>44</v>
      </c>
      <c r="C55" s="146" t="s">
        <v>320</v>
      </c>
      <c r="D55" s="57" t="s">
        <v>90</v>
      </c>
      <c r="E55" s="57" t="s">
        <v>38</v>
      </c>
      <c r="F55" s="57" t="s">
        <v>15</v>
      </c>
      <c r="G55" s="57">
        <v>20000</v>
      </c>
    </row>
    <row r="56" spans="2:7" ht="9.75" customHeight="1" thickBot="1">
      <c r="B56" s="15">
        <f t="shared" si="3"/>
        <v>45</v>
      </c>
      <c r="C56" s="71" t="s">
        <v>109</v>
      </c>
      <c r="D56" s="71" t="s">
        <v>90</v>
      </c>
      <c r="E56" s="144" t="s">
        <v>38</v>
      </c>
      <c r="F56" s="71" t="s">
        <v>15</v>
      </c>
      <c r="G56" s="71">
        <v>23500</v>
      </c>
    </row>
    <row r="57" spans="2:7" ht="9.75" customHeight="1" thickBot="1">
      <c r="B57" s="6"/>
      <c r="C57" s="4"/>
      <c r="D57" s="4"/>
      <c r="E57" s="4"/>
      <c r="F57" s="4"/>
      <c r="G57" s="9"/>
    </row>
    <row r="58" spans="2:7" ht="10.5" customHeight="1">
      <c r="B58" s="38"/>
      <c r="C58" s="33"/>
      <c r="D58" s="33"/>
      <c r="E58" s="34"/>
      <c r="F58" s="36" t="s">
        <v>117</v>
      </c>
      <c r="G58" s="36"/>
    </row>
    <row r="59" spans="2:7" ht="9" customHeight="1">
      <c r="B59" s="42" t="s">
        <v>41</v>
      </c>
      <c r="C59" s="45" t="s">
        <v>3</v>
      </c>
      <c r="D59" s="44" t="s">
        <v>39</v>
      </c>
      <c r="E59" s="46" t="s">
        <v>36</v>
      </c>
      <c r="F59" s="46" t="s">
        <v>6</v>
      </c>
      <c r="G59" s="46" t="s">
        <v>1</v>
      </c>
    </row>
    <row r="60" spans="2:7" ht="9.75" customHeight="1">
      <c r="B60" s="15">
        <v>46</v>
      </c>
      <c r="C60" s="67" t="s">
        <v>145</v>
      </c>
      <c r="D60" s="67" t="s">
        <v>43</v>
      </c>
      <c r="E60" s="58" t="s">
        <v>150</v>
      </c>
      <c r="F60" s="57"/>
      <c r="G60" s="57">
        <v>23500</v>
      </c>
    </row>
    <row r="61" spans="2:7" ht="9.75" customHeight="1">
      <c r="B61" s="15">
        <f aca="true" t="shared" si="4" ref="B61:B73">B60+1</f>
        <v>47</v>
      </c>
      <c r="C61" s="67" t="s">
        <v>254</v>
      </c>
      <c r="D61" s="67" t="s">
        <v>44</v>
      </c>
      <c r="E61" s="58" t="s">
        <v>150</v>
      </c>
      <c r="F61" s="57" t="s">
        <v>115</v>
      </c>
      <c r="G61" s="57">
        <v>18000</v>
      </c>
    </row>
    <row r="62" spans="2:7" ht="9.75" customHeight="1">
      <c r="B62" s="15">
        <f t="shared" si="4"/>
        <v>48</v>
      </c>
      <c r="C62" s="67" t="s">
        <v>162</v>
      </c>
      <c r="D62" s="67" t="s">
        <v>44</v>
      </c>
      <c r="E62" s="58" t="s">
        <v>150</v>
      </c>
      <c r="F62" s="57" t="s">
        <v>115</v>
      </c>
      <c r="G62" s="57">
        <v>18000</v>
      </c>
    </row>
    <row r="63" spans="2:7" ht="9.75" customHeight="1">
      <c r="B63" s="15">
        <f t="shared" si="4"/>
        <v>49</v>
      </c>
      <c r="C63" s="67" t="s">
        <v>162</v>
      </c>
      <c r="D63" s="67" t="s">
        <v>44</v>
      </c>
      <c r="E63" s="58" t="s">
        <v>149</v>
      </c>
      <c r="F63" s="57" t="s">
        <v>15</v>
      </c>
      <c r="G63" s="57">
        <v>22000</v>
      </c>
    </row>
    <row r="64" spans="2:7" ht="9.75" customHeight="1">
      <c r="B64" s="15">
        <f t="shared" si="4"/>
        <v>50</v>
      </c>
      <c r="C64" s="67" t="s">
        <v>255</v>
      </c>
      <c r="D64" s="67" t="s">
        <v>44</v>
      </c>
      <c r="E64" s="58" t="s">
        <v>150</v>
      </c>
      <c r="F64" s="57" t="s">
        <v>115</v>
      </c>
      <c r="G64" s="57">
        <v>18000</v>
      </c>
    </row>
    <row r="65" spans="2:7" ht="9.75" customHeight="1">
      <c r="B65" s="15">
        <f t="shared" si="4"/>
        <v>51</v>
      </c>
      <c r="C65" s="67" t="s">
        <v>155</v>
      </c>
      <c r="D65" s="67" t="s">
        <v>44</v>
      </c>
      <c r="E65" s="58" t="s">
        <v>149</v>
      </c>
      <c r="F65" s="57" t="s">
        <v>24</v>
      </c>
      <c r="G65" s="57">
        <v>24000</v>
      </c>
    </row>
    <row r="66" spans="2:7" ht="9.75" customHeight="1">
      <c r="B66" s="15">
        <f t="shared" si="4"/>
        <v>52</v>
      </c>
      <c r="C66" s="67" t="s">
        <v>256</v>
      </c>
      <c r="D66" s="67" t="s">
        <v>44</v>
      </c>
      <c r="E66" s="58" t="s">
        <v>150</v>
      </c>
      <c r="F66" s="57" t="s">
        <v>115</v>
      </c>
      <c r="G66" s="57">
        <v>18000</v>
      </c>
    </row>
    <row r="67" spans="2:7" ht="9.75" customHeight="1">
      <c r="B67" s="15">
        <f t="shared" si="4"/>
        <v>53</v>
      </c>
      <c r="C67" s="67" t="s">
        <v>160</v>
      </c>
      <c r="D67" s="67" t="s">
        <v>43</v>
      </c>
      <c r="E67" s="58" t="s">
        <v>149</v>
      </c>
      <c r="F67" s="57" t="s">
        <v>24</v>
      </c>
      <c r="G67" s="57">
        <v>24000</v>
      </c>
    </row>
    <row r="68" spans="2:7" ht="9.75" customHeight="1">
      <c r="B68" s="15">
        <f t="shared" si="4"/>
        <v>54</v>
      </c>
      <c r="C68" s="67" t="s">
        <v>137</v>
      </c>
      <c r="D68" s="67" t="s">
        <v>44</v>
      </c>
      <c r="E68" s="58" t="s">
        <v>149</v>
      </c>
      <c r="F68" s="57" t="s">
        <v>24</v>
      </c>
      <c r="G68" s="57">
        <v>24000</v>
      </c>
    </row>
    <row r="69" spans="2:7" ht="9.75" customHeight="1">
      <c r="B69" s="15">
        <f t="shared" si="4"/>
        <v>55</v>
      </c>
      <c r="C69" s="67" t="s">
        <v>108</v>
      </c>
      <c r="D69" s="67" t="s">
        <v>45</v>
      </c>
      <c r="E69" s="58" t="s">
        <v>149</v>
      </c>
      <c r="F69" s="57" t="s">
        <v>15</v>
      </c>
      <c r="G69" s="57">
        <v>20000</v>
      </c>
    </row>
    <row r="70" spans="2:7" ht="9.75" customHeight="1">
      <c r="B70" s="15">
        <f t="shared" si="4"/>
        <v>56</v>
      </c>
      <c r="C70" s="67" t="s">
        <v>108</v>
      </c>
      <c r="D70" s="67" t="s">
        <v>44</v>
      </c>
      <c r="E70" s="58" t="s">
        <v>149</v>
      </c>
      <c r="F70" s="57" t="s">
        <v>15</v>
      </c>
      <c r="G70" s="57">
        <v>22000</v>
      </c>
    </row>
    <row r="71" spans="2:7" ht="9.75" customHeight="1">
      <c r="B71" s="15">
        <f t="shared" si="4"/>
        <v>57</v>
      </c>
      <c r="C71" s="67" t="s">
        <v>52</v>
      </c>
      <c r="D71" s="67" t="s">
        <v>59</v>
      </c>
      <c r="E71" s="58" t="s">
        <v>150</v>
      </c>
      <c r="F71" s="57" t="s">
        <v>115</v>
      </c>
      <c r="G71" s="57">
        <v>18000</v>
      </c>
    </row>
    <row r="72" spans="2:7" ht="9.75" customHeight="1">
      <c r="B72" s="15">
        <f t="shared" si="4"/>
        <v>58</v>
      </c>
      <c r="C72" s="67" t="s">
        <v>52</v>
      </c>
      <c r="D72" s="67" t="s">
        <v>45</v>
      </c>
      <c r="E72" s="58" t="s">
        <v>150</v>
      </c>
      <c r="F72" s="57" t="s">
        <v>115</v>
      </c>
      <c r="G72" s="57">
        <v>20000</v>
      </c>
    </row>
    <row r="73" spans="2:7" ht="9.75" customHeight="1">
      <c r="B73" s="15">
        <f t="shared" si="4"/>
        <v>59</v>
      </c>
      <c r="C73" s="57" t="s">
        <v>54</v>
      </c>
      <c r="D73" s="67" t="s">
        <v>44</v>
      </c>
      <c r="E73" s="58" t="s">
        <v>150</v>
      </c>
      <c r="F73" s="57" t="s">
        <v>15</v>
      </c>
      <c r="G73" s="57">
        <v>16500</v>
      </c>
    </row>
    <row r="74" spans="2:7" ht="9.75" customHeight="1">
      <c r="B74" s="15">
        <f>B72+1</f>
        <v>59</v>
      </c>
      <c r="C74" s="67" t="s">
        <v>55</v>
      </c>
      <c r="D74" s="57" t="s">
        <v>59</v>
      </c>
      <c r="E74" s="58" t="s">
        <v>150</v>
      </c>
      <c r="F74" s="57" t="s">
        <v>15</v>
      </c>
      <c r="G74" s="57">
        <v>20000</v>
      </c>
    </row>
    <row r="75" spans="2:7" ht="9.75" customHeight="1" thickBot="1">
      <c r="B75" s="28">
        <f>B73+1</f>
        <v>60</v>
      </c>
      <c r="C75" s="138" t="s">
        <v>323</v>
      </c>
      <c r="D75" s="140"/>
      <c r="E75" s="144" t="s">
        <v>149</v>
      </c>
      <c r="F75" s="140" t="s">
        <v>15</v>
      </c>
      <c r="G75" s="140">
        <v>22000</v>
      </c>
    </row>
    <row r="76" spans="5:7" ht="9" customHeight="1" thickBot="1">
      <c r="E76" t="s">
        <v>12</v>
      </c>
      <c r="G76" s="9"/>
    </row>
    <row r="77" ht="12.75">
      <c r="E77" t="s">
        <v>12</v>
      </c>
    </row>
    <row r="78" ht="12.75">
      <c r="F78" t="s">
        <v>12</v>
      </c>
    </row>
  </sheetData>
  <sheetProtection/>
  <mergeCells count="4">
    <mergeCell ref="A5:G5"/>
    <mergeCell ref="D1:G2"/>
    <mergeCell ref="A3:G3"/>
    <mergeCell ref="A4:G4"/>
  </mergeCells>
  <printOptions/>
  <pageMargins left="0.15" right="0.14" top="0.14" bottom="0.13" header="0.14" footer="0.13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I55"/>
  <sheetViews>
    <sheetView zoomScale="130" zoomScaleNormal="130" zoomScalePageLayoutView="0" workbookViewId="0" topLeftCell="A1">
      <selection activeCell="H5" sqref="H5"/>
    </sheetView>
  </sheetViews>
  <sheetFormatPr defaultColWidth="9.140625" defaultRowHeight="12.75"/>
  <cols>
    <col min="1" max="1" width="1.421875" style="0" customWidth="1"/>
    <col min="2" max="2" width="4.28125" style="0" customWidth="1"/>
    <col min="3" max="3" width="21.57421875" style="0" customWidth="1"/>
    <col min="4" max="4" width="10.00390625" style="0" customWidth="1"/>
    <col min="5" max="5" width="10.421875" style="0" customWidth="1"/>
    <col min="6" max="6" width="27.7109375" style="0" customWidth="1"/>
    <col min="7" max="7" width="12.7109375" style="0" customWidth="1"/>
    <col min="8" max="8" width="6.57421875" style="13" customWidth="1"/>
    <col min="9" max="9" width="10.140625" style="0" bestFit="1" customWidth="1"/>
  </cols>
  <sheetData>
    <row r="1" spans="2:7" ht="12.75" customHeight="1">
      <c r="B1" s="11"/>
      <c r="C1" s="11"/>
      <c r="D1" s="156"/>
      <c r="E1" s="156"/>
      <c r="F1" s="156"/>
      <c r="G1" s="156"/>
    </row>
    <row r="2" spans="3:7" ht="27" customHeight="1">
      <c r="C2" s="10"/>
      <c r="D2" s="156"/>
      <c r="E2" s="156"/>
      <c r="F2" s="156"/>
      <c r="G2" s="156"/>
    </row>
    <row r="3" spans="1:9" ht="11.25" customHeight="1">
      <c r="A3" s="25"/>
      <c r="B3" s="25"/>
      <c r="C3" s="157" t="s">
        <v>334</v>
      </c>
      <c r="D3" s="157"/>
      <c r="E3" s="157"/>
      <c r="F3" s="157"/>
      <c r="G3" s="157"/>
      <c r="H3" s="29"/>
      <c r="I3" s="30"/>
    </row>
    <row r="4" spans="2:7" ht="9.75" customHeight="1">
      <c r="B4" s="157" t="s">
        <v>335</v>
      </c>
      <c r="C4" s="157"/>
      <c r="D4" s="157"/>
      <c r="E4" s="157"/>
      <c r="F4" s="157"/>
      <c r="G4" s="157"/>
    </row>
    <row r="5" spans="2:7" ht="9.75" customHeight="1" thickBot="1">
      <c r="B5" s="157"/>
      <c r="C5" s="157"/>
      <c r="D5" s="157"/>
      <c r="E5" s="157"/>
      <c r="F5" s="157"/>
      <c r="G5" s="157"/>
    </row>
    <row r="6" spans="2:8" ht="12" customHeight="1">
      <c r="B6" s="32"/>
      <c r="C6" s="33"/>
      <c r="D6" s="33"/>
      <c r="E6" s="34"/>
      <c r="F6" s="35" t="s">
        <v>337</v>
      </c>
      <c r="G6" s="36"/>
      <c r="H6" s="13" t="s">
        <v>12</v>
      </c>
    </row>
    <row r="7" spans="2:8" ht="12" customHeight="1">
      <c r="B7" s="19"/>
      <c r="C7" s="50"/>
      <c r="D7" s="50"/>
      <c r="E7" s="50"/>
      <c r="F7" s="51" t="s">
        <v>95</v>
      </c>
      <c r="G7" s="52"/>
      <c r="H7" s="13" t="s">
        <v>12</v>
      </c>
    </row>
    <row r="8" spans="2:7" ht="9" customHeight="1">
      <c r="B8" s="53" t="s">
        <v>41</v>
      </c>
      <c r="C8" s="54" t="s">
        <v>3</v>
      </c>
      <c r="D8" s="55" t="s">
        <v>28</v>
      </c>
      <c r="E8" s="55" t="s">
        <v>27</v>
      </c>
      <c r="F8" s="55" t="s">
        <v>29</v>
      </c>
      <c r="G8" s="55" t="s">
        <v>30</v>
      </c>
    </row>
    <row r="9" spans="2:7" ht="9.75" customHeight="1">
      <c r="B9" s="15">
        <v>1</v>
      </c>
      <c r="C9" s="67" t="s">
        <v>110</v>
      </c>
      <c r="D9" s="56" t="s">
        <v>111</v>
      </c>
      <c r="E9" s="57" t="s">
        <v>112</v>
      </c>
      <c r="F9" s="58"/>
      <c r="G9" s="57" t="s">
        <v>113</v>
      </c>
    </row>
    <row r="10" spans="2:7" ht="9.75" customHeight="1">
      <c r="B10" s="15">
        <f aca="true" t="shared" si="0" ref="B10:B53">B9+1</f>
        <v>2</v>
      </c>
      <c r="C10" s="67" t="s">
        <v>110</v>
      </c>
      <c r="D10" s="56" t="s">
        <v>102</v>
      </c>
      <c r="E10" s="57"/>
      <c r="F10" s="57" t="s">
        <v>164</v>
      </c>
      <c r="G10" s="57">
        <v>45000</v>
      </c>
    </row>
    <row r="11" spans="2:7" ht="9.75" customHeight="1">
      <c r="B11" s="15">
        <f t="shared" si="0"/>
        <v>3</v>
      </c>
      <c r="C11" s="67" t="s">
        <v>289</v>
      </c>
      <c r="D11" s="56" t="s">
        <v>166</v>
      </c>
      <c r="E11" s="57">
        <v>5.9</v>
      </c>
      <c r="F11" s="57" t="s">
        <v>164</v>
      </c>
      <c r="G11" s="57" t="s">
        <v>290</v>
      </c>
    </row>
    <row r="12" spans="2:7" ht="9.75" customHeight="1">
      <c r="B12" s="15">
        <f t="shared" si="0"/>
        <v>4</v>
      </c>
      <c r="C12" s="67" t="s">
        <v>142</v>
      </c>
      <c r="D12" s="56" t="s">
        <v>166</v>
      </c>
      <c r="E12" s="57">
        <v>7.8</v>
      </c>
      <c r="F12" s="57" t="s">
        <v>164</v>
      </c>
      <c r="G12" s="57" t="s">
        <v>288</v>
      </c>
    </row>
    <row r="13" spans="2:7" ht="9.75" customHeight="1">
      <c r="B13" s="15">
        <f t="shared" si="0"/>
        <v>5</v>
      </c>
      <c r="C13" s="67" t="s">
        <v>169</v>
      </c>
      <c r="D13" s="56" t="s">
        <v>166</v>
      </c>
      <c r="E13" s="59" t="s">
        <v>188</v>
      </c>
      <c r="F13" s="57" t="s">
        <v>91</v>
      </c>
      <c r="G13" s="57" t="s">
        <v>170</v>
      </c>
    </row>
    <row r="14" spans="2:7" ht="9.75" customHeight="1">
      <c r="B14" s="15">
        <f t="shared" si="0"/>
        <v>6</v>
      </c>
      <c r="C14" s="67" t="s">
        <v>169</v>
      </c>
      <c r="D14" s="56" t="s">
        <v>166</v>
      </c>
      <c r="E14" s="59" t="s">
        <v>144</v>
      </c>
      <c r="F14" s="57" t="s">
        <v>91</v>
      </c>
      <c r="G14" s="57" t="s">
        <v>201</v>
      </c>
    </row>
    <row r="15" spans="2:7" ht="9.75" customHeight="1">
      <c r="B15" s="15">
        <f t="shared" si="0"/>
        <v>7</v>
      </c>
      <c r="C15" s="67" t="s">
        <v>169</v>
      </c>
      <c r="D15" s="56" t="s">
        <v>166</v>
      </c>
      <c r="E15" s="60" t="s">
        <v>287</v>
      </c>
      <c r="F15" s="57" t="s">
        <v>164</v>
      </c>
      <c r="G15" s="57" t="s">
        <v>170</v>
      </c>
    </row>
    <row r="16" spans="2:7" ht="9.75" customHeight="1">
      <c r="B16" s="15">
        <f t="shared" si="0"/>
        <v>8</v>
      </c>
      <c r="C16" s="67" t="s">
        <v>165</v>
      </c>
      <c r="D16" s="56" t="s">
        <v>166</v>
      </c>
      <c r="E16" s="60">
        <v>3</v>
      </c>
      <c r="F16" s="57" t="s">
        <v>164</v>
      </c>
      <c r="G16" s="57" t="s">
        <v>167</v>
      </c>
    </row>
    <row r="17" spans="2:7" ht="9.75" customHeight="1">
      <c r="B17" s="15">
        <f t="shared" si="0"/>
        <v>9</v>
      </c>
      <c r="C17" s="67" t="s">
        <v>186</v>
      </c>
      <c r="D17" s="56" t="s">
        <v>166</v>
      </c>
      <c r="E17" s="60">
        <v>3</v>
      </c>
      <c r="F17" s="57" t="s">
        <v>91</v>
      </c>
      <c r="G17" s="57" t="s">
        <v>187</v>
      </c>
    </row>
    <row r="18" spans="2:7" ht="9.75" customHeight="1">
      <c r="B18" s="15">
        <f t="shared" si="0"/>
        <v>10</v>
      </c>
      <c r="C18" s="67" t="s">
        <v>186</v>
      </c>
      <c r="D18" s="56" t="s">
        <v>133</v>
      </c>
      <c r="E18" s="60" t="s">
        <v>285</v>
      </c>
      <c r="F18" s="57" t="s">
        <v>164</v>
      </c>
      <c r="G18" s="57" t="s">
        <v>286</v>
      </c>
    </row>
    <row r="19" spans="2:7" ht="9.75" customHeight="1">
      <c r="B19" s="15">
        <f t="shared" si="0"/>
        <v>11</v>
      </c>
      <c r="C19" s="67" t="s">
        <v>120</v>
      </c>
      <c r="D19" s="56" t="s">
        <v>121</v>
      </c>
      <c r="E19" s="57">
        <v>4</v>
      </c>
      <c r="F19" s="58"/>
      <c r="G19" s="57" t="s">
        <v>122</v>
      </c>
    </row>
    <row r="20" spans="2:7" ht="9.75" customHeight="1">
      <c r="B20" s="15">
        <f t="shared" si="0"/>
        <v>12</v>
      </c>
      <c r="C20" s="67" t="s">
        <v>132</v>
      </c>
      <c r="D20" s="56" t="s">
        <v>102</v>
      </c>
      <c r="E20" s="57" t="s">
        <v>143</v>
      </c>
      <c r="F20" s="57" t="s">
        <v>91</v>
      </c>
      <c r="G20" s="57" t="s">
        <v>153</v>
      </c>
    </row>
    <row r="21" spans="2:7" ht="9.75" customHeight="1">
      <c r="B21" s="15">
        <f t="shared" si="0"/>
        <v>13</v>
      </c>
      <c r="C21" s="67" t="s">
        <v>132</v>
      </c>
      <c r="D21" s="56" t="s">
        <v>283</v>
      </c>
      <c r="E21" s="57">
        <v>7.8</v>
      </c>
      <c r="F21" s="57" t="s">
        <v>164</v>
      </c>
      <c r="G21" s="57" t="s">
        <v>284</v>
      </c>
    </row>
    <row r="22" spans="2:7" ht="9.75" customHeight="1">
      <c r="B22" s="15">
        <f t="shared" si="0"/>
        <v>14</v>
      </c>
      <c r="C22" s="67" t="s">
        <v>125</v>
      </c>
      <c r="D22" s="56" t="s">
        <v>133</v>
      </c>
      <c r="E22" s="60">
        <v>3</v>
      </c>
      <c r="F22" s="57" t="s">
        <v>164</v>
      </c>
      <c r="G22" s="57" t="s">
        <v>168</v>
      </c>
    </row>
    <row r="23" spans="2:7" ht="9.75" customHeight="1">
      <c r="B23" s="15">
        <f t="shared" si="0"/>
        <v>15</v>
      </c>
      <c r="C23" s="67" t="s">
        <v>125</v>
      </c>
      <c r="D23" s="56" t="s">
        <v>133</v>
      </c>
      <c r="E23" s="60">
        <v>6</v>
      </c>
      <c r="F23" s="57" t="s">
        <v>91</v>
      </c>
      <c r="G23" s="57" t="s">
        <v>168</v>
      </c>
    </row>
    <row r="24" spans="2:7" ht="9.75" customHeight="1">
      <c r="B24" s="15">
        <f t="shared" si="0"/>
        <v>16</v>
      </c>
      <c r="C24" s="67" t="s">
        <v>189</v>
      </c>
      <c r="D24" s="56" t="s">
        <v>133</v>
      </c>
      <c r="E24" s="60" t="s">
        <v>282</v>
      </c>
      <c r="F24" s="57" t="s">
        <v>164</v>
      </c>
      <c r="G24" s="57" t="s">
        <v>190</v>
      </c>
    </row>
    <row r="25" spans="2:7" ht="9.75" customHeight="1">
      <c r="B25" s="15">
        <f t="shared" si="0"/>
        <v>17</v>
      </c>
      <c r="C25" s="67" t="s">
        <v>189</v>
      </c>
      <c r="D25" s="56" t="s">
        <v>133</v>
      </c>
      <c r="E25" s="60">
        <v>4</v>
      </c>
      <c r="F25" s="57" t="s">
        <v>91</v>
      </c>
      <c r="G25" s="57" t="s">
        <v>190</v>
      </c>
    </row>
    <row r="26" spans="2:7" ht="9.75" customHeight="1">
      <c r="B26" s="15">
        <f t="shared" si="0"/>
        <v>18</v>
      </c>
      <c r="C26" s="67" t="s">
        <v>62</v>
      </c>
      <c r="D26" s="56" t="s">
        <v>133</v>
      </c>
      <c r="E26" s="60">
        <v>11.45</v>
      </c>
      <c r="F26" s="57" t="s">
        <v>91</v>
      </c>
      <c r="G26" s="57" t="s">
        <v>178</v>
      </c>
    </row>
    <row r="27" spans="2:7" ht="9.75" customHeight="1">
      <c r="B27" s="15">
        <f t="shared" si="0"/>
        <v>19</v>
      </c>
      <c r="C27" s="67" t="s">
        <v>62</v>
      </c>
      <c r="D27" s="56" t="s">
        <v>134</v>
      </c>
      <c r="E27" s="61">
        <v>10.6</v>
      </c>
      <c r="F27" s="62" t="s">
        <v>53</v>
      </c>
      <c r="G27" s="57" t="s">
        <v>154</v>
      </c>
    </row>
    <row r="28" spans="2:7" ht="9.75" customHeight="1">
      <c r="B28" s="15">
        <f t="shared" si="0"/>
        <v>20</v>
      </c>
      <c r="C28" s="57" t="s">
        <v>50</v>
      </c>
      <c r="D28" s="63">
        <v>4</v>
      </c>
      <c r="E28" s="60">
        <v>5.8</v>
      </c>
      <c r="F28" s="57" t="s">
        <v>91</v>
      </c>
      <c r="G28" s="62" t="s">
        <v>328</v>
      </c>
    </row>
    <row r="29" spans="2:7" ht="9.75" customHeight="1">
      <c r="B29" s="15">
        <f t="shared" si="0"/>
        <v>21</v>
      </c>
      <c r="C29" s="57" t="s">
        <v>50</v>
      </c>
      <c r="D29" s="63">
        <v>10</v>
      </c>
      <c r="E29" s="60">
        <v>5.7</v>
      </c>
      <c r="F29" s="62" t="s">
        <v>53</v>
      </c>
      <c r="G29" s="62" t="s">
        <v>96</v>
      </c>
    </row>
    <row r="30" spans="2:7" ht="9.75" customHeight="1">
      <c r="B30" s="15">
        <f t="shared" si="0"/>
        <v>22</v>
      </c>
      <c r="C30" s="67" t="s">
        <v>61</v>
      </c>
      <c r="D30" s="64">
        <v>8</v>
      </c>
      <c r="E30" s="57" t="s">
        <v>128</v>
      </c>
      <c r="F30" s="62" t="s">
        <v>171</v>
      </c>
      <c r="G30" s="57">
        <v>46000</v>
      </c>
    </row>
    <row r="31" spans="2:7" ht="9.75" customHeight="1">
      <c r="B31" s="15">
        <f t="shared" si="0"/>
        <v>23</v>
      </c>
      <c r="C31" s="68" t="s">
        <v>60</v>
      </c>
      <c r="D31" s="65" t="s">
        <v>86</v>
      </c>
      <c r="E31" s="59" t="s">
        <v>104</v>
      </c>
      <c r="F31" s="57" t="s">
        <v>53</v>
      </c>
      <c r="G31" s="66">
        <v>31000</v>
      </c>
    </row>
    <row r="32" spans="2:7" ht="9.75" customHeight="1">
      <c r="B32" s="15">
        <f t="shared" si="0"/>
        <v>24</v>
      </c>
      <c r="C32" s="68" t="s">
        <v>97</v>
      </c>
      <c r="D32" s="65" t="s">
        <v>86</v>
      </c>
      <c r="E32" s="59">
        <v>7.73</v>
      </c>
      <c r="F32" s="62" t="s">
        <v>53</v>
      </c>
      <c r="G32" s="66">
        <v>31000</v>
      </c>
    </row>
    <row r="33" spans="2:7" ht="9.75" customHeight="1">
      <c r="B33" s="15">
        <f t="shared" si="0"/>
        <v>25</v>
      </c>
      <c r="C33" s="68" t="s">
        <v>202</v>
      </c>
      <c r="D33" s="65" t="s">
        <v>298</v>
      </c>
      <c r="E33" s="60" t="s">
        <v>299</v>
      </c>
      <c r="F33" s="57" t="s">
        <v>91</v>
      </c>
      <c r="G33" s="66">
        <v>31000</v>
      </c>
    </row>
    <row r="34" spans="2:7" ht="9.75" customHeight="1">
      <c r="B34" s="15">
        <f t="shared" si="0"/>
        <v>26</v>
      </c>
      <c r="C34" s="68" t="s">
        <v>202</v>
      </c>
      <c r="D34" s="65" t="s">
        <v>239</v>
      </c>
      <c r="E34" s="60" t="s">
        <v>240</v>
      </c>
      <c r="F34" s="62" t="s">
        <v>53</v>
      </c>
      <c r="G34" s="66">
        <v>35000</v>
      </c>
    </row>
    <row r="35" spans="2:7" ht="9.75" customHeight="1">
      <c r="B35" s="15">
        <f t="shared" si="0"/>
        <v>27</v>
      </c>
      <c r="C35" s="67" t="s">
        <v>146</v>
      </c>
      <c r="D35" s="56" t="s">
        <v>147</v>
      </c>
      <c r="E35" s="60" t="s">
        <v>148</v>
      </c>
      <c r="F35" s="57" t="s">
        <v>91</v>
      </c>
      <c r="G35" s="57">
        <v>31000</v>
      </c>
    </row>
    <row r="36" spans="2:7" ht="9.75" customHeight="1">
      <c r="B36" s="15">
        <f t="shared" si="0"/>
        <v>28</v>
      </c>
      <c r="C36" s="67" t="s">
        <v>295</v>
      </c>
      <c r="D36" s="56" t="s">
        <v>86</v>
      </c>
      <c r="E36" s="60" t="s">
        <v>296</v>
      </c>
      <c r="F36" s="62" t="s">
        <v>53</v>
      </c>
      <c r="G36" s="57">
        <v>31000</v>
      </c>
    </row>
    <row r="37" spans="2:7" ht="9.75" customHeight="1">
      <c r="B37" s="15">
        <f t="shared" si="0"/>
        <v>29</v>
      </c>
      <c r="C37" s="67" t="s">
        <v>92</v>
      </c>
      <c r="D37" s="56" t="s">
        <v>151</v>
      </c>
      <c r="E37" s="61">
        <v>10.43</v>
      </c>
      <c r="F37" s="62" t="s">
        <v>53</v>
      </c>
      <c r="G37" s="57">
        <v>35000</v>
      </c>
    </row>
    <row r="38" spans="2:7" ht="9.75" customHeight="1">
      <c r="B38" s="15">
        <f t="shared" si="0"/>
        <v>30</v>
      </c>
      <c r="C38" s="67" t="s">
        <v>92</v>
      </c>
      <c r="D38" s="56" t="s">
        <v>86</v>
      </c>
      <c r="E38" s="61"/>
      <c r="F38" s="57"/>
      <c r="G38" s="57">
        <v>32000</v>
      </c>
    </row>
    <row r="39" spans="2:7" ht="9.75" customHeight="1">
      <c r="B39" s="15">
        <f t="shared" si="0"/>
        <v>31</v>
      </c>
      <c r="C39" s="67" t="s">
        <v>92</v>
      </c>
      <c r="D39" s="56" t="s">
        <v>317</v>
      </c>
      <c r="E39" s="61" t="s">
        <v>318</v>
      </c>
      <c r="F39" s="62" t="s">
        <v>53</v>
      </c>
      <c r="G39" s="57">
        <v>35000</v>
      </c>
    </row>
    <row r="40" spans="2:7" ht="9.75" customHeight="1">
      <c r="B40" s="15">
        <f t="shared" si="0"/>
        <v>32</v>
      </c>
      <c r="C40" s="67" t="s">
        <v>163</v>
      </c>
      <c r="D40" s="56" t="s">
        <v>71</v>
      </c>
      <c r="E40" s="61" t="s">
        <v>182</v>
      </c>
      <c r="F40" s="57" t="s">
        <v>91</v>
      </c>
      <c r="G40" s="57">
        <v>29000</v>
      </c>
    </row>
    <row r="41" spans="2:7" s="18" customFormat="1" ht="9.75" customHeight="1">
      <c r="B41" s="15">
        <f t="shared" si="0"/>
        <v>33</v>
      </c>
      <c r="C41" s="57" t="s">
        <v>127</v>
      </c>
      <c r="D41" s="67">
        <v>7</v>
      </c>
      <c r="E41" s="57">
        <v>11.5</v>
      </c>
      <c r="F41" s="57" t="s">
        <v>91</v>
      </c>
      <c r="G41" s="57">
        <v>31000</v>
      </c>
    </row>
    <row r="42" spans="2:7" s="18" customFormat="1" ht="9.75" customHeight="1">
      <c r="B42" s="15">
        <f t="shared" si="0"/>
        <v>34</v>
      </c>
      <c r="C42" s="57" t="s">
        <v>127</v>
      </c>
      <c r="D42" s="67">
        <v>15</v>
      </c>
      <c r="E42" s="57" t="s">
        <v>128</v>
      </c>
      <c r="F42" s="57" t="s">
        <v>53</v>
      </c>
      <c r="G42" s="57">
        <v>35000</v>
      </c>
    </row>
    <row r="43" spans="2:7" s="18" customFormat="1" ht="9.75" customHeight="1">
      <c r="B43" s="15">
        <f t="shared" si="0"/>
        <v>35</v>
      </c>
      <c r="C43" s="57" t="s">
        <v>127</v>
      </c>
      <c r="D43" s="67">
        <v>16</v>
      </c>
      <c r="E43" s="57" t="s">
        <v>141</v>
      </c>
      <c r="F43" s="57" t="s">
        <v>53</v>
      </c>
      <c r="G43" s="57">
        <v>35000</v>
      </c>
    </row>
    <row r="44" spans="2:7" s="18" customFormat="1" ht="9.75" customHeight="1">
      <c r="B44" s="15">
        <f t="shared" si="0"/>
        <v>36</v>
      </c>
      <c r="C44" s="57" t="s">
        <v>94</v>
      </c>
      <c r="D44" s="67">
        <v>14</v>
      </c>
      <c r="E44" s="57">
        <v>7.55</v>
      </c>
      <c r="F44" s="57" t="s">
        <v>53</v>
      </c>
      <c r="G44" s="57">
        <v>35000</v>
      </c>
    </row>
    <row r="45" spans="2:7" s="18" customFormat="1" ht="9.75" customHeight="1">
      <c r="B45" s="15">
        <f t="shared" si="0"/>
        <v>37</v>
      </c>
      <c r="C45" s="66" t="s">
        <v>123</v>
      </c>
      <c r="D45" s="68">
        <v>8</v>
      </c>
      <c r="E45" s="66">
        <v>11.5</v>
      </c>
      <c r="F45" s="57" t="s">
        <v>91</v>
      </c>
      <c r="G45" s="66">
        <v>31000</v>
      </c>
    </row>
    <row r="46" spans="2:7" s="18" customFormat="1" ht="9.75" customHeight="1">
      <c r="B46" s="15">
        <f t="shared" si="0"/>
        <v>38</v>
      </c>
      <c r="C46" s="66" t="s">
        <v>123</v>
      </c>
      <c r="D46" s="68">
        <v>8</v>
      </c>
      <c r="E46" s="66"/>
      <c r="F46" s="57"/>
      <c r="G46" s="66">
        <v>30000</v>
      </c>
    </row>
    <row r="47" spans="2:7" s="18" customFormat="1" ht="9.75" customHeight="1">
      <c r="B47" s="15">
        <f t="shared" si="0"/>
        <v>39</v>
      </c>
      <c r="C47" s="66" t="s">
        <v>123</v>
      </c>
      <c r="D47" s="68">
        <v>9</v>
      </c>
      <c r="E47" s="66" t="s">
        <v>126</v>
      </c>
      <c r="F47" s="57" t="s">
        <v>91</v>
      </c>
      <c r="G47" s="66">
        <v>31000</v>
      </c>
    </row>
    <row r="48" spans="2:7" s="18" customFormat="1" ht="9.75" customHeight="1">
      <c r="B48" s="15">
        <f t="shared" si="0"/>
        <v>40</v>
      </c>
      <c r="C48" s="66" t="s">
        <v>123</v>
      </c>
      <c r="D48" s="68">
        <v>13</v>
      </c>
      <c r="E48" s="66">
        <v>11.41</v>
      </c>
      <c r="F48" s="57" t="s">
        <v>91</v>
      </c>
      <c r="G48" s="66">
        <v>31000</v>
      </c>
    </row>
    <row r="49" spans="2:7" s="18" customFormat="1" ht="9.75" customHeight="1">
      <c r="B49" s="15">
        <f t="shared" si="0"/>
        <v>41</v>
      </c>
      <c r="C49" s="66" t="s">
        <v>123</v>
      </c>
      <c r="D49" s="68">
        <v>15.5</v>
      </c>
      <c r="E49" s="66" t="s">
        <v>250</v>
      </c>
      <c r="F49" s="57" t="s">
        <v>259</v>
      </c>
      <c r="G49" s="66">
        <v>42000</v>
      </c>
    </row>
    <row r="50" spans="2:7" s="18" customFormat="1" ht="9.75" customHeight="1">
      <c r="B50" s="15">
        <f t="shared" si="0"/>
        <v>42</v>
      </c>
      <c r="C50" s="57" t="s">
        <v>124</v>
      </c>
      <c r="D50" s="56" t="s">
        <v>86</v>
      </c>
      <c r="E50" s="57">
        <v>11.55</v>
      </c>
      <c r="F50" s="57" t="s">
        <v>152</v>
      </c>
      <c r="G50" s="57">
        <v>31000</v>
      </c>
    </row>
    <row r="51" spans="2:7" s="18" customFormat="1" ht="9.75" customHeight="1">
      <c r="B51" s="15">
        <f t="shared" si="0"/>
        <v>43</v>
      </c>
      <c r="C51" s="66" t="s">
        <v>251</v>
      </c>
      <c r="D51" s="68">
        <v>14</v>
      </c>
      <c r="E51" s="66" t="s">
        <v>253</v>
      </c>
      <c r="F51" s="66" t="s">
        <v>258</v>
      </c>
      <c r="G51" s="66">
        <v>42000</v>
      </c>
    </row>
    <row r="52" spans="2:7" s="18" customFormat="1" ht="9.75" customHeight="1">
      <c r="B52" s="15">
        <f t="shared" si="0"/>
        <v>44</v>
      </c>
      <c r="C52" s="66" t="s">
        <v>251</v>
      </c>
      <c r="D52" s="56" t="s">
        <v>252</v>
      </c>
      <c r="E52" s="57">
        <v>11.69</v>
      </c>
      <c r="F52" s="66" t="s">
        <v>258</v>
      </c>
      <c r="G52" s="66">
        <v>42000</v>
      </c>
    </row>
    <row r="53" spans="2:7" s="18" customFormat="1" ht="9.75" customHeight="1" thickBot="1">
      <c r="B53" s="15">
        <f t="shared" si="0"/>
        <v>45</v>
      </c>
      <c r="C53" s="71" t="s">
        <v>251</v>
      </c>
      <c r="D53" s="69">
        <v>20</v>
      </c>
      <c r="E53" s="70">
        <v>11.41</v>
      </c>
      <c r="F53" s="71" t="s">
        <v>258</v>
      </c>
      <c r="G53" s="71">
        <v>42000</v>
      </c>
    </row>
    <row r="54" spans="2:7" ht="9.75" customHeight="1" thickBot="1">
      <c r="B54" s="4"/>
      <c r="C54" s="4"/>
      <c r="D54" s="4"/>
      <c r="E54" s="4"/>
      <c r="F54" s="4"/>
      <c r="G54" s="17" t="s">
        <v>40</v>
      </c>
    </row>
    <row r="55" spans="2:6" ht="9" customHeight="1">
      <c r="B55" s="4"/>
      <c r="C55" s="4" t="s">
        <v>12</v>
      </c>
      <c r="D55" s="4"/>
      <c r="E55" s="4" t="s">
        <v>12</v>
      </c>
      <c r="F55" s="4"/>
    </row>
  </sheetData>
  <sheetProtection/>
  <mergeCells count="4">
    <mergeCell ref="D1:G2"/>
    <mergeCell ref="B5:G5"/>
    <mergeCell ref="B4:G4"/>
    <mergeCell ref="C3:G3"/>
  </mergeCells>
  <printOptions/>
  <pageMargins left="0.16" right="0.16" top="0.17" bottom="0.17" header="0.17" footer="0.17"/>
  <pageSetup horizontalDpi="600" verticalDpi="600" orientation="portrait" paperSize="9" scale="90" r:id="rId2"/>
  <ignoredErrors>
    <ignoredError sqref="D50 D52 D34:D37 D39:D40 D38 D31:D33 D9:D11 D12:D2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rgb="FF002060"/>
  </sheetPr>
  <dimension ref="A1:I71"/>
  <sheetViews>
    <sheetView showGridLines="0" tabSelected="1" zoomScale="130" zoomScaleNormal="130" zoomScalePageLayoutView="0" workbookViewId="0" topLeftCell="A1">
      <selection activeCell="C7" sqref="C7"/>
    </sheetView>
  </sheetViews>
  <sheetFormatPr defaultColWidth="9.140625" defaultRowHeight="12.75"/>
  <cols>
    <col min="1" max="1" width="1.421875" style="0" customWidth="1"/>
    <col min="2" max="2" width="4.28125" style="0" customWidth="1"/>
    <col min="3" max="3" width="21.57421875" style="0" customWidth="1"/>
    <col min="4" max="4" width="10.00390625" style="0" customWidth="1"/>
    <col min="5" max="5" width="12.140625" style="0" customWidth="1"/>
    <col min="6" max="6" width="24.8515625" style="0" customWidth="1"/>
    <col min="7" max="7" width="12.7109375" style="0" customWidth="1"/>
    <col min="8" max="8" width="9.28125" style="13" customWidth="1"/>
  </cols>
  <sheetData>
    <row r="1" spans="2:7" ht="10.5" customHeight="1">
      <c r="B1" s="11"/>
      <c r="C1" s="11"/>
      <c r="D1" s="156"/>
      <c r="E1" s="156"/>
      <c r="F1" s="156"/>
      <c r="G1" s="156"/>
    </row>
    <row r="2" spans="3:7" ht="27" customHeight="1">
      <c r="C2" s="10"/>
      <c r="D2" s="156"/>
      <c r="E2" s="156"/>
      <c r="F2" s="156"/>
      <c r="G2" s="156"/>
    </row>
    <row r="3" spans="1:8" ht="11.25" customHeight="1">
      <c r="A3" s="25"/>
      <c r="B3" s="25"/>
      <c r="C3" s="157" t="s">
        <v>334</v>
      </c>
      <c r="D3" s="157"/>
      <c r="E3" s="157"/>
      <c r="F3" s="157"/>
      <c r="G3" s="157"/>
      <c r="H3" s="14"/>
    </row>
    <row r="4" spans="2:7" ht="9.75" customHeight="1">
      <c r="B4" s="157" t="s">
        <v>335</v>
      </c>
      <c r="C4" s="157"/>
      <c r="D4" s="157"/>
      <c r="E4" s="157"/>
      <c r="F4" s="157"/>
      <c r="G4" s="157"/>
    </row>
    <row r="5" spans="2:7" ht="9.75" customHeight="1" thickBot="1">
      <c r="B5" s="157"/>
      <c r="C5" s="157"/>
      <c r="D5" s="157"/>
      <c r="E5" s="157"/>
      <c r="F5" s="157"/>
      <c r="G5" s="157"/>
    </row>
    <row r="6" spans="2:8" ht="14.25" customHeight="1" thickBot="1">
      <c r="B6" s="32"/>
      <c r="C6" s="33"/>
      <c r="D6" s="33"/>
      <c r="E6" s="34"/>
      <c r="F6" s="35" t="s">
        <v>336</v>
      </c>
      <c r="G6" s="36"/>
      <c r="H6" s="13" t="s">
        <v>12</v>
      </c>
    </row>
    <row r="7" spans="2:7" ht="12" customHeight="1">
      <c r="B7" s="38"/>
      <c r="C7" s="33"/>
      <c r="D7" s="33"/>
      <c r="E7" s="174" t="s">
        <v>35</v>
      </c>
      <c r="F7" s="174"/>
      <c r="G7" s="36"/>
    </row>
    <row r="8" spans="2:7" ht="9.75" customHeight="1">
      <c r="B8" s="42" t="s">
        <v>41</v>
      </c>
      <c r="C8" s="45" t="s">
        <v>3</v>
      </c>
      <c r="D8" s="72" t="s">
        <v>42</v>
      </c>
      <c r="E8" s="127" t="s">
        <v>6</v>
      </c>
      <c r="F8" s="95"/>
      <c r="G8" s="45" t="s">
        <v>13</v>
      </c>
    </row>
    <row r="9" spans="2:7" ht="9.75" customHeight="1">
      <c r="B9" s="15">
        <v>1</v>
      </c>
      <c r="C9" s="67" t="s">
        <v>84</v>
      </c>
      <c r="D9" s="147" t="s">
        <v>9</v>
      </c>
      <c r="E9" s="148"/>
      <c r="F9" s="149" t="s">
        <v>17</v>
      </c>
      <c r="G9" s="67">
        <v>17500</v>
      </c>
    </row>
    <row r="10" spans="2:7" ht="9.75" customHeight="1">
      <c r="B10" s="15">
        <v>2</v>
      </c>
      <c r="C10" s="67" t="s">
        <v>305</v>
      </c>
      <c r="D10" s="147" t="s">
        <v>9</v>
      </c>
      <c r="E10" s="148"/>
      <c r="F10" s="149" t="s">
        <v>17</v>
      </c>
      <c r="G10" s="67" t="s">
        <v>306</v>
      </c>
    </row>
    <row r="11" spans="2:9" ht="9.75" customHeight="1">
      <c r="B11" s="15">
        <v>3</v>
      </c>
      <c r="C11" s="67" t="s">
        <v>324</v>
      </c>
      <c r="D11" s="147" t="s">
        <v>58</v>
      </c>
      <c r="E11" s="147"/>
      <c r="F11" s="67" t="s">
        <v>64</v>
      </c>
      <c r="G11" s="67" t="s">
        <v>326</v>
      </c>
      <c r="I11" t="s">
        <v>12</v>
      </c>
    </row>
    <row r="12" spans="2:9" ht="9.75" customHeight="1">
      <c r="B12" s="15">
        <v>4</v>
      </c>
      <c r="C12" s="67" t="s">
        <v>19</v>
      </c>
      <c r="D12" s="147" t="s">
        <v>58</v>
      </c>
      <c r="E12" s="147"/>
      <c r="F12" s="67" t="s">
        <v>64</v>
      </c>
      <c r="G12" s="67" t="s">
        <v>325</v>
      </c>
      <c r="I12" t="s">
        <v>12</v>
      </c>
    </row>
    <row r="13" spans="2:7" ht="9.75" customHeight="1" thickBot="1">
      <c r="B13" s="6"/>
      <c r="C13" s="4"/>
      <c r="D13" s="4"/>
      <c r="E13" s="176"/>
      <c r="F13" s="177"/>
      <c r="G13" s="7"/>
    </row>
    <row r="14" spans="2:7" ht="12" customHeight="1" thickBot="1">
      <c r="B14" s="73"/>
      <c r="C14" s="74"/>
      <c r="D14" s="74"/>
      <c r="E14" s="175" t="s">
        <v>14</v>
      </c>
      <c r="F14" s="175"/>
      <c r="G14" s="74"/>
    </row>
    <row r="15" spans="2:7" ht="9.75" customHeight="1">
      <c r="B15" s="75" t="s">
        <v>41</v>
      </c>
      <c r="C15" s="76" t="s">
        <v>3</v>
      </c>
      <c r="D15" s="77" t="s">
        <v>42</v>
      </c>
      <c r="E15" s="172" t="s">
        <v>0</v>
      </c>
      <c r="F15" s="173"/>
      <c r="G15" s="78" t="s">
        <v>11</v>
      </c>
    </row>
    <row r="16" spans="2:7" ht="9.75" customHeight="1">
      <c r="B16" s="15">
        <v>1</v>
      </c>
      <c r="C16" s="67" t="s">
        <v>156</v>
      </c>
      <c r="D16" s="147" t="s">
        <v>4</v>
      </c>
      <c r="E16" s="147"/>
      <c r="F16" s="67" t="s">
        <v>157</v>
      </c>
      <c r="G16" s="67" t="s">
        <v>327</v>
      </c>
    </row>
    <row r="17" spans="2:7" ht="9.75" customHeight="1">
      <c r="B17" s="15">
        <f>B16+1</f>
        <v>2</v>
      </c>
      <c r="C17" s="67" t="s">
        <v>211</v>
      </c>
      <c r="D17" s="147" t="s">
        <v>4</v>
      </c>
      <c r="E17" s="147"/>
      <c r="F17" s="67" t="s">
        <v>212</v>
      </c>
      <c r="G17" s="67" t="s">
        <v>213</v>
      </c>
    </row>
    <row r="18" spans="2:7" ht="9.75" customHeight="1">
      <c r="B18" s="15">
        <f aca="true" t="shared" si="0" ref="B18:B67">B17+1</f>
        <v>3</v>
      </c>
      <c r="C18" s="67" t="s">
        <v>116</v>
      </c>
      <c r="D18" s="147" t="s">
        <v>4</v>
      </c>
      <c r="E18" s="147"/>
      <c r="F18" s="67" t="s">
        <v>257</v>
      </c>
      <c r="G18" s="67" t="s">
        <v>140</v>
      </c>
    </row>
    <row r="19" spans="2:7" ht="9.75" customHeight="1">
      <c r="B19" s="15">
        <f t="shared" si="0"/>
        <v>4</v>
      </c>
      <c r="C19" s="67" t="s">
        <v>203</v>
      </c>
      <c r="D19" s="147" t="s">
        <v>4</v>
      </c>
      <c r="E19" s="147"/>
      <c r="F19" s="67" t="s">
        <v>136</v>
      </c>
      <c r="G19" s="67" t="s">
        <v>204</v>
      </c>
    </row>
    <row r="20" spans="2:7" ht="9.75" customHeight="1">
      <c r="B20" s="15">
        <f t="shared" si="0"/>
        <v>5</v>
      </c>
      <c r="C20" s="67" t="s">
        <v>205</v>
      </c>
      <c r="D20" s="147" t="s">
        <v>4</v>
      </c>
      <c r="E20" s="147"/>
      <c r="F20" s="67" t="s">
        <v>206</v>
      </c>
      <c r="G20" s="67" t="s">
        <v>207</v>
      </c>
    </row>
    <row r="21" spans="2:7" ht="9.75" customHeight="1">
      <c r="B21" s="15">
        <f t="shared" si="0"/>
        <v>6</v>
      </c>
      <c r="C21" s="67" t="s">
        <v>208</v>
      </c>
      <c r="D21" s="147" t="s">
        <v>4</v>
      </c>
      <c r="E21" s="147"/>
      <c r="F21" s="67" t="s">
        <v>209</v>
      </c>
      <c r="G21" s="67" t="s">
        <v>210</v>
      </c>
    </row>
    <row r="22" spans="2:7" ht="9.75" customHeight="1">
      <c r="B22" s="15">
        <f t="shared" si="0"/>
        <v>7</v>
      </c>
      <c r="C22" s="67" t="s">
        <v>135</v>
      </c>
      <c r="D22" s="147" t="s">
        <v>4</v>
      </c>
      <c r="E22" s="147"/>
      <c r="F22" s="67" t="s">
        <v>297</v>
      </c>
      <c r="G22" s="67" t="s">
        <v>138</v>
      </c>
    </row>
    <row r="23" spans="2:7" ht="9.75" customHeight="1">
      <c r="B23" s="15">
        <f t="shared" si="0"/>
        <v>8</v>
      </c>
      <c r="C23" s="67" t="s">
        <v>214</v>
      </c>
      <c r="D23" s="147" t="s">
        <v>4</v>
      </c>
      <c r="E23" s="147"/>
      <c r="F23" s="67" t="s">
        <v>215</v>
      </c>
      <c r="G23" s="67" t="s">
        <v>216</v>
      </c>
    </row>
    <row r="24" spans="2:7" ht="9.75" customHeight="1">
      <c r="B24" s="15">
        <f t="shared" si="0"/>
        <v>9</v>
      </c>
      <c r="C24" s="67" t="s">
        <v>217</v>
      </c>
      <c r="D24" s="147" t="s">
        <v>4</v>
      </c>
      <c r="E24" s="147"/>
      <c r="F24" s="67" t="s">
        <v>219</v>
      </c>
      <c r="G24" s="67" t="s">
        <v>218</v>
      </c>
    </row>
    <row r="25" spans="2:7" ht="9.75" customHeight="1">
      <c r="B25" s="15">
        <f t="shared" si="0"/>
        <v>10</v>
      </c>
      <c r="C25" s="67" t="s">
        <v>129</v>
      </c>
      <c r="D25" s="147" t="s">
        <v>4</v>
      </c>
      <c r="E25" s="147"/>
      <c r="F25" s="67" t="s">
        <v>220</v>
      </c>
      <c r="G25" s="67" t="s">
        <v>139</v>
      </c>
    </row>
    <row r="26" spans="2:7" ht="9.75" customHeight="1">
      <c r="B26" s="15">
        <f t="shared" si="0"/>
        <v>11</v>
      </c>
      <c r="C26" s="67" t="s">
        <v>72</v>
      </c>
      <c r="D26" s="147" t="s">
        <v>4</v>
      </c>
      <c r="E26" s="148"/>
      <c r="F26" s="149" t="s">
        <v>222</v>
      </c>
      <c r="G26" s="67" t="s">
        <v>221</v>
      </c>
    </row>
    <row r="27" spans="2:7" ht="9.75" customHeight="1">
      <c r="B27" s="15">
        <f t="shared" si="0"/>
        <v>12</v>
      </c>
      <c r="C27" s="67" t="s">
        <v>223</v>
      </c>
      <c r="D27" s="147" t="s">
        <v>4</v>
      </c>
      <c r="E27" s="170" t="s">
        <v>262</v>
      </c>
      <c r="F27" s="171"/>
      <c r="G27" s="67">
        <v>25000</v>
      </c>
    </row>
    <row r="28" spans="2:7" ht="9.75" customHeight="1">
      <c r="B28" s="15">
        <f t="shared" si="0"/>
        <v>13</v>
      </c>
      <c r="C28" s="67" t="s">
        <v>224</v>
      </c>
      <c r="D28" s="147" t="s">
        <v>4</v>
      </c>
      <c r="E28" s="148"/>
      <c r="F28" s="149" t="s">
        <v>226</v>
      </c>
      <c r="G28" s="67" t="s">
        <v>227</v>
      </c>
    </row>
    <row r="29" spans="2:7" ht="9.75" customHeight="1">
      <c r="B29" s="15">
        <f t="shared" si="0"/>
        <v>14</v>
      </c>
      <c r="C29" s="67" t="s">
        <v>238</v>
      </c>
      <c r="D29" s="147" t="s">
        <v>7</v>
      </c>
      <c r="E29" s="148"/>
      <c r="F29" s="149" t="s">
        <v>274</v>
      </c>
      <c r="G29" s="67">
        <v>25000</v>
      </c>
    </row>
    <row r="30" spans="2:7" ht="9.75" customHeight="1">
      <c r="B30" s="15">
        <f t="shared" si="0"/>
        <v>15</v>
      </c>
      <c r="C30" s="67" t="s">
        <v>225</v>
      </c>
      <c r="D30" s="147" t="s">
        <v>4</v>
      </c>
      <c r="E30" s="148"/>
      <c r="F30" s="149" t="s">
        <v>228</v>
      </c>
      <c r="G30" s="67" t="s">
        <v>229</v>
      </c>
    </row>
    <row r="31" spans="2:7" ht="9.75" customHeight="1">
      <c r="B31" s="15">
        <f t="shared" si="0"/>
        <v>16</v>
      </c>
      <c r="C31" s="67" t="s">
        <v>16</v>
      </c>
      <c r="D31" s="147"/>
      <c r="E31" s="147" t="s">
        <v>87</v>
      </c>
      <c r="F31" s="67" t="s">
        <v>88</v>
      </c>
      <c r="G31" s="67" t="s">
        <v>51</v>
      </c>
    </row>
    <row r="32" spans="2:8" ht="9.75" customHeight="1">
      <c r="B32" s="15">
        <f t="shared" si="0"/>
        <v>17</v>
      </c>
      <c r="C32" s="67" t="s">
        <v>16</v>
      </c>
      <c r="D32" s="147" t="s">
        <v>73</v>
      </c>
      <c r="E32" s="170" t="s">
        <v>74</v>
      </c>
      <c r="F32" s="171"/>
      <c r="G32" s="150">
        <v>150000</v>
      </c>
      <c r="H32" s="13" t="s">
        <v>12</v>
      </c>
    </row>
    <row r="33" spans="2:7" ht="9.75" customHeight="1">
      <c r="B33" s="15">
        <f t="shared" si="0"/>
        <v>18</v>
      </c>
      <c r="C33" s="67" t="s">
        <v>20</v>
      </c>
      <c r="D33" s="147" t="s">
        <v>2</v>
      </c>
      <c r="E33" s="147"/>
      <c r="F33" s="67" t="s">
        <v>18</v>
      </c>
      <c r="G33" s="67" t="s">
        <v>31</v>
      </c>
    </row>
    <row r="34" spans="2:7" ht="9.75" customHeight="1">
      <c r="B34" s="15">
        <f t="shared" si="0"/>
        <v>19</v>
      </c>
      <c r="C34" s="67" t="s">
        <v>100</v>
      </c>
      <c r="D34" s="147" t="s">
        <v>2</v>
      </c>
      <c r="E34" s="147"/>
      <c r="F34" s="67" t="s">
        <v>49</v>
      </c>
      <c r="G34" s="67" t="s">
        <v>101</v>
      </c>
    </row>
    <row r="35" spans="2:7" ht="9.75" customHeight="1">
      <c r="B35" s="15">
        <f t="shared" si="0"/>
        <v>20</v>
      </c>
      <c r="C35" s="67" t="s">
        <v>98</v>
      </c>
      <c r="D35" s="147" t="s">
        <v>2</v>
      </c>
      <c r="E35" s="147"/>
      <c r="F35" s="67"/>
      <c r="G35" s="67" t="s">
        <v>99</v>
      </c>
    </row>
    <row r="36" spans="2:7" ht="9.75" customHeight="1">
      <c r="B36" s="15">
        <f t="shared" si="0"/>
        <v>21</v>
      </c>
      <c r="C36" s="67" t="s">
        <v>57</v>
      </c>
      <c r="D36" s="147" t="s">
        <v>2</v>
      </c>
      <c r="E36" s="147" t="s">
        <v>56</v>
      </c>
      <c r="F36" s="67" t="s">
        <v>25</v>
      </c>
      <c r="G36" s="67" t="s">
        <v>26</v>
      </c>
    </row>
    <row r="37" spans="2:7" ht="9.75" customHeight="1">
      <c r="B37" s="15">
        <f t="shared" si="0"/>
        <v>22</v>
      </c>
      <c r="C37" s="67" t="s">
        <v>87</v>
      </c>
      <c r="D37" s="147" t="s">
        <v>2</v>
      </c>
      <c r="E37" s="147"/>
      <c r="F37" s="67" t="s">
        <v>330</v>
      </c>
      <c r="G37" s="67" t="s">
        <v>333</v>
      </c>
    </row>
    <row r="38" spans="2:7" ht="9.75" customHeight="1">
      <c r="B38" s="15">
        <f t="shared" si="0"/>
        <v>23</v>
      </c>
      <c r="C38" s="67" t="s">
        <v>329</v>
      </c>
      <c r="D38" s="147" t="s">
        <v>2</v>
      </c>
      <c r="E38" s="147"/>
      <c r="F38" s="67" t="s">
        <v>331</v>
      </c>
      <c r="G38" s="67" t="s">
        <v>332</v>
      </c>
    </row>
    <row r="39" spans="2:7" ht="9.75" customHeight="1">
      <c r="B39" s="15">
        <f t="shared" si="0"/>
        <v>24</v>
      </c>
      <c r="C39" s="67" t="s">
        <v>158</v>
      </c>
      <c r="D39" s="147" t="s">
        <v>2</v>
      </c>
      <c r="E39" s="147"/>
      <c r="F39" s="67" t="s">
        <v>159</v>
      </c>
      <c r="G39" s="67">
        <v>20000</v>
      </c>
    </row>
    <row r="40" spans="2:7" ht="9.75" customHeight="1">
      <c r="B40" s="15">
        <f t="shared" si="0"/>
        <v>25</v>
      </c>
      <c r="C40" s="67" t="s">
        <v>195</v>
      </c>
      <c r="D40" s="57"/>
      <c r="E40" s="147"/>
      <c r="F40" s="151" t="s">
        <v>197</v>
      </c>
      <c r="G40" s="57" t="s">
        <v>196</v>
      </c>
    </row>
    <row r="41" spans="2:7" ht="9.75" customHeight="1">
      <c r="B41" s="15">
        <f t="shared" si="0"/>
        <v>26</v>
      </c>
      <c r="C41" s="67" t="s">
        <v>199</v>
      </c>
      <c r="D41" s="57"/>
      <c r="E41" s="147"/>
      <c r="F41" s="151" t="s">
        <v>198</v>
      </c>
      <c r="G41" s="57" t="s">
        <v>200</v>
      </c>
    </row>
    <row r="42" spans="2:7" ht="9.75" customHeight="1">
      <c r="B42" s="15">
        <f t="shared" si="0"/>
        <v>27</v>
      </c>
      <c r="C42" s="67" t="s">
        <v>242</v>
      </c>
      <c r="D42" s="147" t="s">
        <v>2</v>
      </c>
      <c r="E42" s="147"/>
      <c r="F42" s="151" t="s">
        <v>243</v>
      </c>
      <c r="G42" s="57" t="s">
        <v>244</v>
      </c>
    </row>
    <row r="43" spans="2:7" ht="9.75" customHeight="1">
      <c r="B43" s="15">
        <f t="shared" si="0"/>
        <v>28</v>
      </c>
      <c r="C43" s="67" t="s">
        <v>270</v>
      </c>
      <c r="D43" s="57" t="s">
        <v>4</v>
      </c>
      <c r="E43" s="147"/>
      <c r="F43" s="151" t="s">
        <v>269</v>
      </c>
      <c r="G43" s="57">
        <v>25000</v>
      </c>
    </row>
    <row r="44" spans="2:7" ht="9.75" customHeight="1">
      <c r="B44" s="15">
        <f t="shared" si="0"/>
        <v>29</v>
      </c>
      <c r="C44" s="67" t="s">
        <v>179</v>
      </c>
      <c r="D44" s="147" t="s">
        <v>2</v>
      </c>
      <c r="E44" s="147"/>
      <c r="F44" s="151" t="s">
        <v>180</v>
      </c>
      <c r="G44" s="57" t="s">
        <v>181</v>
      </c>
    </row>
    <row r="45" spans="2:7" ht="9.75" customHeight="1">
      <c r="B45" s="15">
        <f t="shared" si="0"/>
        <v>30</v>
      </c>
      <c r="C45" s="67" t="s">
        <v>107</v>
      </c>
      <c r="D45" s="147" t="s">
        <v>7</v>
      </c>
      <c r="E45" s="147" t="s">
        <v>76</v>
      </c>
      <c r="F45" s="67" t="s">
        <v>75</v>
      </c>
      <c r="G45" s="67" t="s">
        <v>77</v>
      </c>
    </row>
    <row r="46" spans="2:7" ht="10.5" customHeight="1">
      <c r="B46" s="15">
        <f t="shared" si="0"/>
        <v>31</v>
      </c>
      <c r="C46" s="67" t="s">
        <v>191</v>
      </c>
      <c r="D46" s="147" t="s">
        <v>2</v>
      </c>
      <c r="E46" s="147"/>
      <c r="F46" s="67" t="s">
        <v>192</v>
      </c>
      <c r="G46" s="67" t="s">
        <v>193</v>
      </c>
    </row>
    <row r="47" spans="2:7" ht="10.5" customHeight="1">
      <c r="B47" s="15">
        <f t="shared" si="0"/>
        <v>32</v>
      </c>
      <c r="C47" s="67" t="s">
        <v>264</v>
      </c>
      <c r="D47" s="147" t="s">
        <v>4</v>
      </c>
      <c r="E47" s="147"/>
      <c r="F47" s="67" t="s">
        <v>277</v>
      </c>
      <c r="G47" s="67" t="s">
        <v>265</v>
      </c>
    </row>
    <row r="48" spans="2:7" ht="10.5" customHeight="1">
      <c r="B48" s="15">
        <f t="shared" si="0"/>
        <v>33</v>
      </c>
      <c r="C48" s="67" t="s">
        <v>247</v>
      </c>
      <c r="D48" s="147" t="s">
        <v>4</v>
      </c>
      <c r="E48" s="147"/>
      <c r="F48" s="67" t="s">
        <v>248</v>
      </c>
      <c r="G48" s="67" t="s">
        <v>249</v>
      </c>
    </row>
    <row r="49" spans="2:7" ht="10.5" customHeight="1">
      <c r="B49" s="15">
        <f t="shared" si="0"/>
        <v>34</v>
      </c>
      <c r="C49" s="67" t="s">
        <v>245</v>
      </c>
      <c r="D49" s="147" t="s">
        <v>2</v>
      </c>
      <c r="E49" s="147"/>
      <c r="F49" s="67" t="s">
        <v>246</v>
      </c>
      <c r="G49" s="67" t="s">
        <v>292</v>
      </c>
    </row>
    <row r="50" spans="2:9" ht="10.5" customHeight="1">
      <c r="B50" s="15">
        <f t="shared" si="0"/>
        <v>35</v>
      </c>
      <c r="C50" s="67" t="s">
        <v>266</v>
      </c>
      <c r="D50" s="147" t="s">
        <v>2</v>
      </c>
      <c r="E50" s="147"/>
      <c r="F50" s="67" t="s">
        <v>267</v>
      </c>
      <c r="G50" s="67" t="s">
        <v>268</v>
      </c>
      <c r="I50" t="s">
        <v>12</v>
      </c>
    </row>
    <row r="51" spans="2:9" ht="10.5" customHeight="1">
      <c r="B51" s="15">
        <f t="shared" si="0"/>
        <v>36</v>
      </c>
      <c r="C51" s="67" t="s">
        <v>307</v>
      </c>
      <c r="D51" s="147" t="s">
        <v>2</v>
      </c>
      <c r="E51" s="147"/>
      <c r="F51" s="67" t="s">
        <v>308</v>
      </c>
      <c r="G51" s="67" t="s">
        <v>314</v>
      </c>
      <c r="I51" t="s">
        <v>12</v>
      </c>
    </row>
    <row r="52" spans="2:9" ht="10.5" customHeight="1">
      <c r="B52" s="15">
        <f t="shared" si="0"/>
        <v>37</v>
      </c>
      <c r="C52" s="67" t="s">
        <v>130</v>
      </c>
      <c r="D52" s="147" t="s">
        <v>2</v>
      </c>
      <c r="E52" s="147"/>
      <c r="F52" s="67" t="s">
        <v>309</v>
      </c>
      <c r="G52" s="67" t="s">
        <v>131</v>
      </c>
      <c r="I52" t="s">
        <v>12</v>
      </c>
    </row>
    <row r="53" spans="2:9" ht="10.5" customHeight="1">
      <c r="B53" s="15">
        <f t="shared" si="0"/>
        <v>38</v>
      </c>
      <c r="C53" s="67" t="s">
        <v>310</v>
      </c>
      <c r="D53" s="147" t="s">
        <v>2</v>
      </c>
      <c r="E53" s="147"/>
      <c r="F53" s="67" t="s">
        <v>311</v>
      </c>
      <c r="G53" s="67" t="s">
        <v>315</v>
      </c>
      <c r="I53" t="s">
        <v>12</v>
      </c>
    </row>
    <row r="54" spans="2:9" ht="10.5" customHeight="1">
      <c r="B54" s="15">
        <f t="shared" si="0"/>
        <v>39</v>
      </c>
      <c r="C54" s="67" t="s">
        <v>312</v>
      </c>
      <c r="D54" s="147" t="s">
        <v>2</v>
      </c>
      <c r="E54" s="147"/>
      <c r="F54" s="67" t="s">
        <v>313</v>
      </c>
      <c r="G54" s="67" t="s">
        <v>316</v>
      </c>
      <c r="I54" t="s">
        <v>12</v>
      </c>
    </row>
    <row r="55" spans="2:7" ht="9.75" customHeight="1">
      <c r="B55" s="15">
        <f t="shared" si="0"/>
        <v>40</v>
      </c>
      <c r="C55" s="67" t="s">
        <v>279</v>
      </c>
      <c r="D55" s="57" t="s">
        <v>4</v>
      </c>
      <c r="E55" s="147"/>
      <c r="F55" s="67" t="s">
        <v>280</v>
      </c>
      <c r="G55" s="149" t="s">
        <v>281</v>
      </c>
    </row>
    <row r="56" spans="2:7" ht="9.75" customHeight="1">
      <c r="B56" s="15">
        <f t="shared" si="0"/>
        <v>41</v>
      </c>
      <c r="C56" s="67" t="s">
        <v>175</v>
      </c>
      <c r="D56" s="57" t="s">
        <v>4</v>
      </c>
      <c r="E56" s="147"/>
      <c r="F56" s="67" t="s">
        <v>300</v>
      </c>
      <c r="G56" s="149" t="s">
        <v>301</v>
      </c>
    </row>
    <row r="57" spans="2:7" ht="9.75" customHeight="1">
      <c r="B57" s="15">
        <f t="shared" si="0"/>
        <v>42</v>
      </c>
      <c r="C57" s="67" t="s">
        <v>175</v>
      </c>
      <c r="D57" s="147" t="s">
        <v>2</v>
      </c>
      <c r="E57" s="147"/>
      <c r="F57" s="67" t="s">
        <v>176</v>
      </c>
      <c r="G57" s="149" t="s">
        <v>177</v>
      </c>
    </row>
    <row r="58" spans="2:7" ht="9.75" customHeight="1">
      <c r="B58" s="15">
        <f t="shared" si="0"/>
        <v>43</v>
      </c>
      <c r="C58" s="67" t="s">
        <v>294</v>
      </c>
      <c r="D58" s="57" t="s">
        <v>4</v>
      </c>
      <c r="E58" s="147"/>
      <c r="F58" s="67" t="s">
        <v>263</v>
      </c>
      <c r="G58" s="67" t="s">
        <v>293</v>
      </c>
    </row>
    <row r="59" spans="2:7" ht="9.75" customHeight="1">
      <c r="B59" s="15">
        <f t="shared" si="0"/>
        <v>44</v>
      </c>
      <c r="C59" s="67" t="s">
        <v>184</v>
      </c>
      <c r="D59" s="147" t="s">
        <v>2</v>
      </c>
      <c r="E59" s="147"/>
      <c r="F59" s="67"/>
      <c r="G59" s="149" t="s">
        <v>185</v>
      </c>
    </row>
    <row r="60" spans="2:7" ht="9.75" customHeight="1">
      <c r="B60" s="15">
        <f t="shared" si="0"/>
        <v>45</v>
      </c>
      <c r="C60" s="67" t="s">
        <v>233</v>
      </c>
      <c r="D60" s="57" t="s">
        <v>4</v>
      </c>
      <c r="E60" s="147"/>
      <c r="F60" s="67" t="s">
        <v>234</v>
      </c>
      <c r="G60" s="67" t="s">
        <v>235</v>
      </c>
    </row>
    <row r="61" spans="2:7" ht="9.75" customHeight="1">
      <c r="B61" s="15">
        <f t="shared" si="0"/>
        <v>46</v>
      </c>
      <c r="C61" s="67" t="s">
        <v>241</v>
      </c>
      <c r="D61" s="147" t="s">
        <v>2</v>
      </c>
      <c r="E61" s="147"/>
      <c r="F61" s="67" t="s">
        <v>260</v>
      </c>
      <c r="G61" s="149" t="s">
        <v>261</v>
      </c>
    </row>
    <row r="62" spans="2:7" ht="9.75" customHeight="1">
      <c r="B62" s="15">
        <f t="shared" si="0"/>
        <v>47</v>
      </c>
      <c r="C62" s="67" t="s">
        <v>85</v>
      </c>
      <c r="D62" s="147" t="s">
        <v>2</v>
      </c>
      <c r="E62" s="147"/>
      <c r="F62" s="67" t="s">
        <v>80</v>
      </c>
      <c r="G62" s="67" t="s">
        <v>183</v>
      </c>
    </row>
    <row r="63" spans="2:7" ht="9.75" customHeight="1">
      <c r="B63" s="15">
        <f t="shared" si="0"/>
        <v>48</v>
      </c>
      <c r="C63" s="67" t="s">
        <v>230</v>
      </c>
      <c r="D63" s="57" t="s">
        <v>4</v>
      </c>
      <c r="E63" s="147"/>
      <c r="F63" s="67" t="s">
        <v>231</v>
      </c>
      <c r="G63" s="67" t="s">
        <v>232</v>
      </c>
    </row>
    <row r="64" spans="2:7" ht="9.75" customHeight="1">
      <c r="B64" s="15">
        <f t="shared" si="0"/>
        <v>49</v>
      </c>
      <c r="C64" s="149" t="s">
        <v>65</v>
      </c>
      <c r="D64" s="148" t="s">
        <v>66</v>
      </c>
      <c r="E64" s="147" t="s">
        <v>67</v>
      </c>
      <c r="F64" s="67" t="s">
        <v>69</v>
      </c>
      <c r="G64" s="149" t="s">
        <v>78</v>
      </c>
    </row>
    <row r="65" spans="2:7" ht="9.75" customHeight="1">
      <c r="B65" s="15">
        <f t="shared" si="0"/>
        <v>50</v>
      </c>
      <c r="C65" s="149" t="s">
        <v>65</v>
      </c>
      <c r="D65" s="148" t="s">
        <v>66</v>
      </c>
      <c r="E65" s="147" t="s">
        <v>68</v>
      </c>
      <c r="F65" s="67" t="s">
        <v>70</v>
      </c>
      <c r="G65" s="149" t="s">
        <v>79</v>
      </c>
    </row>
    <row r="66" spans="2:7" ht="9.75" customHeight="1">
      <c r="B66" s="15">
        <f t="shared" si="0"/>
        <v>51</v>
      </c>
      <c r="C66" s="67" t="s">
        <v>271</v>
      </c>
      <c r="D66" s="147" t="s">
        <v>272</v>
      </c>
      <c r="E66" s="170" t="s">
        <v>273</v>
      </c>
      <c r="F66" s="171"/>
      <c r="G66" s="149">
        <v>40000</v>
      </c>
    </row>
    <row r="67" spans="2:7" ht="9.75" customHeight="1" thickBot="1">
      <c r="B67" s="15">
        <f t="shared" si="0"/>
        <v>52</v>
      </c>
      <c r="C67" s="69" t="s">
        <v>33</v>
      </c>
      <c r="D67" s="152"/>
      <c r="E67" s="153"/>
      <c r="F67" s="138" t="s">
        <v>32</v>
      </c>
      <c r="G67" s="69" t="s">
        <v>34</v>
      </c>
    </row>
    <row r="68" spans="2:7" ht="9.75" customHeight="1" thickBot="1">
      <c r="B68" s="3"/>
      <c r="C68" s="3"/>
      <c r="D68" s="3"/>
      <c r="E68" s="2" t="s">
        <v>12</v>
      </c>
      <c r="F68" s="2"/>
      <c r="G68" s="8"/>
    </row>
    <row r="69" spans="3:6" ht="9.75" customHeight="1">
      <c r="C69" t="s">
        <v>12</v>
      </c>
      <c r="D69" t="s">
        <v>12</v>
      </c>
      <c r="F69" t="s">
        <v>12</v>
      </c>
    </row>
    <row r="70" ht="9.75" customHeight="1">
      <c r="F70" t="s">
        <v>12</v>
      </c>
    </row>
    <row r="71" ht="9.75" customHeight="1">
      <c r="E71" t="s">
        <v>12</v>
      </c>
    </row>
  </sheetData>
  <sheetProtection/>
  <mergeCells count="12">
    <mergeCell ref="B5:G5"/>
    <mergeCell ref="E27:F27"/>
    <mergeCell ref="E66:F66"/>
    <mergeCell ref="B4:G4"/>
    <mergeCell ref="C3:G3"/>
    <mergeCell ref="D1:G2"/>
    <mergeCell ref="E32:F32"/>
    <mergeCell ref="E15:F15"/>
    <mergeCell ref="E7:F7"/>
    <mergeCell ref="E14:F14"/>
    <mergeCell ref="E8:F8"/>
    <mergeCell ref="E13:F13"/>
  </mergeCells>
  <printOptions/>
  <pageMargins left="0.16" right="0.16" top="0.17" bottom="0.17" header="0.17" footer="0.1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2011-06-15T07:17:16Z</cp:lastPrinted>
  <dcterms:created xsi:type="dcterms:W3CDTF">1996-10-08T23:32:33Z</dcterms:created>
  <dcterms:modified xsi:type="dcterms:W3CDTF">2011-08-15T04:15:32Z</dcterms:modified>
  <cp:category/>
  <cp:version/>
  <cp:contentType/>
  <cp:contentStatus/>
</cp:coreProperties>
</file>